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files\redirect$\joanne.purnell\Desktop\Nutrient Nutrality\"/>
    </mc:Choice>
  </mc:AlternateContent>
  <xr:revisionPtr revIDLastSave="0" documentId="13_ncr:1_{3F358ED6-4E71-4549-833E-8390BDACEA7A}" xr6:coauthVersionLast="47" xr6:coauthVersionMax="47" xr10:uidLastSave="{00000000-0000-0000-0000-000000000000}"/>
  <workbookProtection workbookAlgorithmName="SHA-512" workbookHashValue="YUaKmtTCSyz/mNhNjXbatx/6GbinkmJo9DIrwGRHHztQDkRpDRuf3rdG//LzAhUYxW0c1vCaGCJI2hsplJFZmQ==" workbookSaltValue="KgOzNqkko75V2o/+EmjHVQ==" workbookSpinCount="100000" lockStructure="1"/>
  <bookViews>
    <workbookView xWindow="25080" yWindow="-90" windowWidth="24240" windowHeight="13140" firstSheet="1" activeTab="1" xr2:uid="{82A04952-E2FF-4A89-87AE-39010027FF5F}"/>
  </bookViews>
  <sheets>
    <sheet name="Intro" sheetId="6" r:id="rId1"/>
    <sheet name="Background" sheetId="14" r:id="rId2"/>
    <sheet name="Lindisfarne SPA Ramsar"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3" l="1"/>
  <c r="M28" i="3"/>
  <c r="M32" i="3"/>
  <c r="M34" i="3"/>
  <c r="M37" i="3"/>
  <c r="M41" i="3"/>
  <c r="M42" i="3"/>
  <c r="M45" i="3"/>
  <c r="M49" i="3"/>
  <c r="M53" i="3"/>
  <c r="M56" i="3"/>
  <c r="M59" i="3"/>
  <c r="M64" i="3"/>
  <c r="M67" i="3"/>
  <c r="L67" i="3"/>
  <c r="L64" i="3"/>
  <c r="L59" i="3"/>
  <c r="L56" i="3"/>
  <c r="L53" i="3"/>
  <c r="L49" i="3"/>
  <c r="L45" i="3"/>
  <c r="L42" i="3"/>
  <c r="L41" i="3"/>
  <c r="L37" i="3"/>
  <c r="L34" i="3"/>
  <c r="L32" i="3"/>
  <c r="L28" i="3"/>
  <c r="L23" i="3"/>
  <c r="O34" i="3"/>
  <c r="J150" i="3"/>
  <c r="I150" i="3"/>
  <c r="H69" i="3" l="1"/>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25" i="3"/>
  <c r="H26" i="3"/>
  <c r="H27" i="3"/>
  <c r="H28" i="3"/>
  <c r="H29" i="3"/>
  <c r="H24" i="3"/>
  <c r="F29" i="10" l="1"/>
  <c r="H22" i="7"/>
  <c r="E11" i="9" l="1"/>
  <c r="E12" i="9"/>
  <c r="E13" i="9"/>
  <c r="E18" i="9"/>
  <c r="E19" i="9"/>
  <c r="E20" i="9"/>
  <c r="E21" i="9"/>
  <c r="E22" i="9"/>
  <c r="E23" i="9"/>
  <c r="E24" i="9"/>
  <c r="E25" i="9"/>
  <c r="E26" i="9"/>
  <c r="I154" i="3"/>
  <c r="O23" i="3"/>
  <c r="O42" i="3"/>
  <c r="O49" i="3"/>
  <c r="O59" i="3"/>
  <c r="N59" i="3"/>
  <c r="N49" i="3"/>
  <c r="N42" i="3"/>
  <c r="N34" i="3"/>
  <c r="N23" i="3"/>
  <c r="H68" i="3"/>
  <c r="H23" i="3" l="1"/>
  <c r="E17" i="9" l="1"/>
  <c r="E10" i="9"/>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23" i="3"/>
  <c r="E16" i="8" l="1"/>
  <c r="E17" i="8"/>
  <c r="E18" i="8"/>
  <c r="E20" i="8"/>
  <c r="E21" i="8"/>
  <c r="E22" i="8"/>
  <c r="E23" i="8"/>
  <c r="E31" i="8"/>
  <c r="E15" i="8"/>
  <c r="J154" i="3" l="1"/>
  <c r="E24" i="8" s="1"/>
  <c r="E27" i="8" l="1"/>
  <c r="E14" i="9"/>
  <c r="C21" i="10"/>
  <c r="F21" i="10"/>
  <c r="F22" i="10"/>
  <c r="G22" i="7"/>
  <c r="G20" i="7"/>
  <c r="C20" i="7"/>
  <c r="G10" i="7"/>
  <c r="F15" i="7"/>
  <c r="H15" i="7"/>
  <c r="H14" i="7"/>
  <c r="F14" i="7"/>
  <c r="G14" i="7"/>
  <c r="G15" i="7"/>
  <c r="I22" i="7"/>
  <c r="D14" i="7"/>
  <c r="D22" i="7"/>
  <c r="D23" i="7" s="1"/>
  <c r="D26" i="7" l="1"/>
  <c r="J156" i="3"/>
  <c r="E26" i="8" s="1"/>
  <c r="J155" i="3"/>
  <c r="E25" i="8" s="1"/>
  <c r="I155" i="3"/>
  <c r="I156" i="3"/>
  <c r="D15" i="7"/>
  <c r="D32" i="7" s="1"/>
  <c r="H156" i="3"/>
  <c r="H155" i="3"/>
  <c r="H154" i="3"/>
  <c r="H153" i="3"/>
  <c r="H152" i="3"/>
  <c r="H151" i="3"/>
  <c r="H150" i="3"/>
  <c r="H149" i="3"/>
  <c r="E16" i="9" l="1"/>
  <c r="E19" i="8"/>
  <c r="E28" i="8"/>
  <c r="E15" i="9"/>
  <c r="E29" i="8"/>
  <c r="E30" i="8"/>
  <c r="G22" i="10"/>
  <c r="D27" i="7"/>
  <c r="D33" i="7"/>
  <c r="E27" i="9" l="1"/>
  <c r="E32" i="8"/>
  <c r="G28" i="10"/>
  <c r="D11" i="10"/>
  <c r="D34" i="7"/>
  <c r="D35" i="7" s="1"/>
  <c r="D28" i="7"/>
  <c r="C27" i="13"/>
  <c r="C16" i="13" l="1"/>
  <c r="D17" i="10"/>
  <c r="D16" i="10"/>
  <c r="C15" i="13"/>
  <c r="C17" i="13" l="1"/>
  <c r="C18" i="13" s="1"/>
  <c r="F29" i="13" s="1"/>
  <c r="D18" i="10"/>
  <c r="D19" i="10" s="1"/>
  <c r="D28" i="10"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<sst xmlns="http://schemas.openxmlformats.org/spreadsheetml/2006/main" count="851" uniqueCount="253">
  <si>
    <r>
      <rPr>
        <b/>
        <i/>
        <sz val="8"/>
        <color theme="2" tint="-0.249977111117893"/>
        <rFont val="Calibri"/>
        <family val="2"/>
        <scheme val="minor"/>
      </rPr>
      <t>Image Source:</t>
    </r>
    <r>
      <rPr>
        <i/>
        <sz val="8"/>
        <color theme="2" tint="-0.249977111117893"/>
        <rFont val="Calibri"/>
        <family val="2"/>
        <scheme val="minor"/>
      </rPr>
      <t xml:space="preserve">
Glen Bowman
Deserted Lindisfarne Beach and stone tower</t>
    </r>
    <r>
      <rPr>
        <sz val="8"/>
        <color theme="2" tint="-0.249977111117893"/>
        <rFont val="Calibri"/>
        <family val="2"/>
        <scheme val="minor"/>
      </rPr>
      <t xml:space="preserve">
Copyright: © Glen Bowman 2012</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</si>
  <si>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</si>
  <si>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</si>
  <si>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</si>
  <si>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</si>
  <si>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</si>
  <si>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</si>
  <si>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Lindisfarne Special Protection Area (SPA) and Ramsar</t>
  </si>
  <si>
    <t xml:space="preserve">The Lindisfarne SPA and Ramsar site are Habitats sites with water pollution and eutrophication considered a threat to its condition.  </t>
  </si>
  <si>
    <t>Lindisfarne SPA and Ramsar sites are located on the coast of Northumbria in the north-east of England and encompass a wide range of coastal habitats including intertidal mudflats, saltmarshes, sand dunes and rocky shores.</t>
  </si>
  <si>
    <t xml:space="preserve">These habitats are designated for a diverse range of over-wintering wildfowl and wader bird species. This includes Light Bellied Brent geese (50% world population), common eider, bar-tailed godwit, little tern and roseate tern. The site is also noted for its wintering waterfowl assemblage. </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</si>
  <si>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</si>
  <si>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SPA and Ramsar site, and details of water quality data highlighting the current nutrient problems in the river are available in the Natural England Lindisfarne SPA and Ramsar site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</si>
  <si>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</si>
  <si>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</si>
  <si>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</si>
  <si>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</si>
  <si>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</si>
  <si>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</si>
  <si>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</si>
  <si>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</si>
  <si>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</si>
  <si>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</si>
  <si>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</si>
  <si>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</si>
  <si>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</si>
  <si>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</si>
  <si>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are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</si>
  <si>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</si>
  <si>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</si>
  <si>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feasible to connect to a WwTW and a septic tank or package treatment plant is being used, please select this option. Please be aware that if the total nitrogen (TN) final effluent concentrations (in mg/l) are specified by the manufacturer, you can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</si>
  <si>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</si>
  <si>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</si>
  <si>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</si>
  <si>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</si>
  <si>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</si>
  <si>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</si>
  <si>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</si>
  <si>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</si>
  <si>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</si>
  <si>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</si>
  <si>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</si>
  <si>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</si>
  <si>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</si>
  <si>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</si>
  <si>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</si>
  <si>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http://environment.data.gov.uk/catchment-planning/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</si>
  <si>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</si>
  <si>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</si>
  <si>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</si>
  <si>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</si>
  <si>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</si>
  <si>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</si>
  <si>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</si>
  <si>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</si>
  <si>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</si>
  <si>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</si>
  <si>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</si>
  <si>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https://nrfa.ceh.ac.uk/data/station/spatial/21009</t>
  </si>
  <si>
    <t>b) This link will bring the user to the Tweed at Norham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</si>
  <si>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</si>
  <si>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</si>
  <si>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</si>
  <si>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</si>
  <si>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</si>
  <si>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</si>
  <si>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</si>
  <si>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</si>
  <si>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</si>
  <si>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</si>
  <si>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</si>
  <si>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</si>
  <si>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</si>
  <si>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</si>
  <si>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</si>
  <si>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</si>
  <si>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</si>
  <si>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</si>
  <si>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</si>
  <si>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</si>
  <si>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</si>
  <si>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</si>
  <si>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</si>
  <si>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</si>
  <si>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</si>
  <si>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</si>
  <si>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</si>
  <si>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</si>
  <si>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</si>
  <si>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</si>
  <si>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</si>
  <si>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</si>
  <si>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</si>
  <si>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</si>
  <si>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</si>
  <si>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</si>
  <si>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</si>
  <si>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</si>
  <si>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</si>
  <si>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</si>
  <si>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</si>
  <si>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</si>
  <si>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</si>
  <si>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</si>
  <si>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</si>
  <si>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</si>
  <si>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</si>
  <si>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</si>
  <si>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</si>
  <si>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</si>
  <si>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nitrogen nutrient export 
</t>
    </r>
    <r>
      <rPr>
        <sz val="11"/>
        <color theme="1"/>
        <rFont val="Arial"/>
        <family val="2"/>
      </rPr>
      <t>(kg TN)</t>
    </r>
  </si>
  <si>
    <t>Cereals</t>
  </si>
  <si>
    <t>Total:</t>
  </si>
  <si>
    <t>Stage 3</t>
  </si>
  <si>
    <t>New land use type(s)</t>
  </si>
  <si>
    <r>
      <t xml:space="preserve">Annual nitrogen nutrient export
</t>
    </r>
    <r>
      <rPr>
        <sz val="11"/>
        <color theme="1"/>
        <rFont val="Arial"/>
        <family val="2"/>
      </rPr>
      <t>(kg TN)</t>
    </r>
  </si>
  <si>
    <t>Woodland</t>
  </si>
  <si>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</si>
  <si>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</si>
  <si>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</si>
  <si>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</si>
  <si>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</si>
  <si>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</si>
  <si>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</si>
  <si>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</si>
  <si>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</si>
  <si>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</si>
  <si>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</si>
  <si>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</si>
  <si>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</si>
  <si>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</si>
  <si>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</si>
  <si>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</si>
  <si>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</si>
  <si>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</si>
  <si>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</si>
  <si>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</si>
  <si>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</si>
  <si>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</si>
  <si>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</si>
  <si>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Belford STW</t>
  </si>
  <si>
    <t>Bowsden STW</t>
  </si>
  <si>
    <t>Fenwick (Berwick) STW</t>
  </si>
  <si>
    <t>Haggerston Castle Caravan Park STW</t>
  </si>
  <si>
    <t>Holy Island STW</t>
  </si>
  <si>
    <t>Lowick STW</t>
  </si>
  <si>
    <t>Shoresdean STW</t>
  </si>
  <si>
    <t>Waren Mill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</si>
  <si>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</si>
  <si>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</si>
  <si>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</si>
  <si>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</si>
  <si>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</si>
  <si>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</si>
  <si>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</si>
  <si>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</si>
  <si>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</si>
  <si>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</si>
  <si>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</si>
  <si>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</si>
  <si>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</si>
  <si>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</si>
  <si>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</si>
  <si>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</si>
  <si>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</si>
  <si>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</si>
  <si>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Berwick to Alnmouth Coast</t>
  </si>
  <si>
    <t>600to700</t>
  </si>
  <si>
    <t>FreeDrain</t>
  </si>
  <si>
    <t>DrainedAr</t>
  </si>
  <si>
    <t>DrainedArGr</t>
  </si>
  <si>
    <t>700to900</t>
  </si>
  <si>
    <t>Over1500</t>
  </si>
  <si>
    <t>General</t>
  </si>
  <si>
    <t>LFA</t>
  </si>
  <si>
    <t>Lowland</t>
  </si>
  <si>
    <t>Mixed</t>
  </si>
  <si>
    <t>Northumberland Rivers</t>
  </si>
  <si>
    <t>900to1200</t>
  </si>
  <si>
    <t>Horticulture</t>
  </si>
  <si>
    <t>Pig</t>
  </si>
  <si>
    <t>Poultry</t>
  </si>
  <si>
    <t>Dairy</t>
  </si>
  <si>
    <t>-</t>
  </si>
  <si>
    <t>Greenspace</t>
  </si>
  <si>
    <t>Community food growing</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</si>
  <si>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</si>
  <si>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</si>
  <si>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</si>
  <si>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</si>
  <si>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</si>
  <si>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</si>
  <si>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</si>
  <si>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</si>
  <si>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</si>
  <si>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</si>
  <si>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</si>
  <si>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</si>
  <si>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</si>
  <si>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</si>
  <si>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</si>
  <si>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</si>
  <si>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</si>
  <si>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</si>
  <si>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</si>
  <si>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</si>
  <si>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</si>
  <si>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</si>
  <si>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</si>
  <si>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</si>
  <si>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</si>
  <si>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</si>
  <si>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</si>
  <si>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</si>
  <si>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</si>
  <si>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</si>
  <si>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</si>
  <si>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</si>
  <si>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</si>
  <si>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</si>
  <si>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</si>
  <si>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</si>
  <si>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</si>
  <si>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</si>
  <si>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</si>
  <si>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</si>
  <si>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</si>
  <si>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</si>
  <si>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</si>
  <si>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</si>
  <si>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</si>
  <si>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</si>
  <si>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</si>
  <si>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</si>
  <si>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Lindisfarne Specific Landcover Types</t>
  </si>
  <si>
    <t>Northumberland</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</si>
  <si>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</si>
  <si>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</si>
  <si>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</si>
  <si>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</si>
  <si>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</si>
  <si>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</si>
  <si>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</si>
  <si>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</si>
  <si>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</si>
  <si>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</si>
  <si>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</si>
  <si>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</si>
  <si>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</si>
  <si>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Commercial/industrial urban land</t>
  </si>
  <si>
    <t>Table 6: Stage 2 and 3 NVZ Lookup</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</si>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</sst>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62">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30"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31" fillId="0" borderId="0" xfId="0" applyFont="1" applyAlignment="1">
      <alignment horizontal="left" vertical="top"/>
    </xf>
    <xf numFmtId="0" fontId="12" fillId="2" borderId="0" xfId="0" applyFont="1" applyFill="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12" fillId="5" borderId="0" xfId="0" applyFont="1" applyFill="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3" borderId="21" xfId="0" applyNumberFormat="1" applyFont="1" applyFill="1" applyBorder="1" applyAlignment="1" applyProtection="1">
      <alignment horizontal="left"/>
      <protection locked="0"/>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38" fillId="2" borderId="0" xfId="0" applyFont="1" applyFill="1"/>
    <xf numFmtId="0" fontId="12" fillId="5" borderId="7" xfId="0" applyFont="1" applyFill="1" applyBorder="1" applyAlignment="1">
      <alignment horizontal="left" vertical="center"/>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2" borderId="11" xfId="0" applyFont="1" applyFill="1" applyBorder="1"/>
    <xf numFmtId="0" fontId="12" fillId="2" borderId="3" xfId="0" applyFont="1" applyFill="1" applyBorder="1"/>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8" xfId="0" applyFont="1" applyFill="1" applyBorder="1" applyAlignment="1">
      <alignment horizontal="left" vertical="top" indent="2"/>
    </xf>
    <xf numFmtId="0" fontId="12" fillId="2" borderId="7" xfId="0" applyFont="1" applyFill="1" applyBorder="1" applyAlignment="1">
      <alignment horizontal="left" vertical="top" indent="2"/>
    </xf>
    <xf numFmtId="0" fontId="12" fillId="2" borderId="9" xfId="0" applyFont="1" applyFill="1" applyBorder="1"/>
    <xf numFmtId="0" fontId="12" fillId="5" borderId="2" xfId="0" applyFont="1" applyFill="1" applyBorder="1"/>
    <xf numFmtId="0" fontId="12" fillId="3" borderId="0" xfId="0" applyFont="1" applyFill="1" applyAlignment="1">
      <alignment horizontal="left" vertical="top" indent="2"/>
    </xf>
    <xf numFmtId="0" fontId="12" fillId="4" borderId="0" xfId="0" applyFont="1" applyFill="1" applyAlignment="1">
      <alignment horizontal="left" vertical="top" indent="2"/>
    </xf>
    <xf numFmtId="0" fontId="32" fillId="5" borderId="0" xfId="1" applyFont="1" applyFill="1" applyBorder="1"/>
    <xf numFmtId="0" fontId="32" fillId="5" borderId="0" xfId="1" quotePrefix="1" applyFont="1" applyFill="1" applyBorder="1"/>
    <xf numFmtId="0" fontId="12" fillId="5" borderId="7" xfId="0" applyFont="1" applyFill="1" applyBorder="1"/>
    <xf numFmtId="0" fontId="26" fillId="2" borderId="0" xfId="0" applyFont="1" applyFill="1" applyAlignment="1">
      <alignment vertical="top" wrapText="1"/>
    </xf>
    <xf numFmtId="14" fontId="15" fillId="3" borderId="12" xfId="0" applyNumberFormat="1" applyFont="1" applyFill="1" applyBorder="1" applyAlignment="1" applyProtection="1">
      <alignment horizontal="left" vertical="center" wrapText="1"/>
      <protection locked="0"/>
    </xf>
    <xf numFmtId="2" fontId="12" fillId="4" borderId="22" xfId="0" applyNumberFormat="1" applyFont="1" applyFill="1" applyBorder="1" applyAlignment="1">
      <alignment horizontal="left"/>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20" xfId="0" applyFont="1" applyFill="1" applyBorder="1" applyAlignment="1">
      <alignment horizontal="left" vertical="center" indent="2"/>
    </xf>
    <xf numFmtId="0" fontId="33" fillId="6" borderId="0" xfId="0" applyFont="1" applyFill="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13"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8" fillId="2" borderId="2" xfId="0" applyFont="1" applyFill="1" applyBorder="1" applyAlignment="1">
      <alignment horizontal="left" vertical="top" wrapText="1" indent="2"/>
    </xf>
    <xf numFmtId="0" fontId="32" fillId="2" borderId="0" xfId="1" applyFont="1" applyFill="1" applyAlignment="1" applyProtection="1">
      <protection locked="0"/>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0" borderId="0" xfId="0" applyFont="1" applyAlignment="1">
      <alignment horizontal="left" vertical="top" wrapText="1" indent="2"/>
    </xf>
    <xf numFmtId="0" fontId="40" fillId="6" borderId="10" xfId="0" applyFont="1" applyFill="1" applyBorder="1" applyAlignment="1">
      <alignment horizontal="left" vertical="center" indent="2"/>
    </xf>
    <xf numFmtId="0" fontId="40" fillId="6" borderId="0" xfId="0" applyFont="1" applyFill="1" applyAlignment="1">
      <alignment horizontal="left" vertical="center" indent="2"/>
    </xf>
    <xf numFmtId="0" fontId="40" fillId="6" borderId="2" xfId="0" applyFont="1" applyFill="1" applyBorder="1" applyAlignment="1">
      <alignment horizontal="left" vertical="center"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31" fillId="0" borderId="10" xfId="0" applyFont="1" applyBorder="1" applyAlignment="1">
      <alignment horizontal="left" vertical="top" indent="2"/>
    </xf>
    <xf numFmtId="0" fontId="31" fillId="0" borderId="0" xfId="0" applyFont="1" applyAlignment="1">
      <alignment horizontal="left" vertical="top"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vertical="center"/>
    </xf>
    <xf numFmtId="0" fontId="9" fillId="2" borderId="14" xfId="0" applyFont="1" applyFill="1" applyBorder="1" applyAlignment="1">
      <alignment horizontal="left" vertical="center" wrapText="1"/>
    </xf>
    <xf numFmtId="0" fontId="35" fillId="2" borderId="0" xfId="0"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xf numFmtId="0" fontId="8" fillId="2" borderId="0" xfId="0" applyFont="1" applyFill="1" applyAlignment="1">
      <alignment horizontal="left" vertical="center" wrapText="1"/>
    </xf>
    <xf numFmtId="2" fontId="17" fillId="2" borderId="0" xfId="0" applyNumberFormat="1" applyFont="1" applyFill="1" applyAlignment="1">
      <alignment horizontal="center" vertical="center"/>
    </xf>
    <xf numFmtId="2" fontId="17" fillId="4" borderId="0" xfId="0" applyNumberFormat="1" applyFont="1" applyFill="1" applyAlignment="1">
      <alignment horizontal="center" vertical="center"/>
    </xf>
  </cellXfs>
  <cellStyles count="2">
    <cellStyle name="Hyperlink" xfId="1" builtinId="8"/>
    <cellStyle name="Normal" xfId="0" builtinId="0"/>
  </cellStyles>
  <dxfs count="9">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glenbowman/7165837923"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Lindisfarne SPA Ramsa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142875</xdr:colOff>
      <xdr:row>8</xdr:row>
      <xdr:rowOff>314326</xdr:rowOff>
    </xdr:from>
    <xdr:to>
      <xdr:col>10</xdr:col>
      <xdr:colOff>133350</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904875" y="3209926"/>
          <a:ext cx="303847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Lindisfarne SPA/Ramsar</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4324</xdr:rowOff>
    </xdr:from>
    <xdr:to>
      <xdr:col>19</xdr:col>
      <xdr:colOff>123824</xdr:colOff>
      <xdr:row>10</xdr:row>
      <xdr:rowOff>33234</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728224"/>
          <a:ext cx="4384625" cy="292451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4</xdr:row>
      <xdr:rowOff>9196</xdr:rowOff>
    </xdr:from>
    <xdr:to>
      <xdr:col>26</xdr:col>
      <xdr:colOff>158750</xdr:colOff>
      <xdr:row>20</xdr:row>
      <xdr:rowOff>53975</xdr:rowOff>
    </xdr:to>
    <xdr:pic>
      <xdr:nvPicPr>
        <xdr:cNvPr id="2" name="Picture 1">
          <a:extLst>
            <a:ext uri="{FF2B5EF4-FFF2-40B4-BE49-F238E27FC236}">
              <a16:creationId xmlns:a16="http://schemas.microsoft.com/office/drawing/2014/main" id="{14ECC986-707F-4A94-9D8F-0455D0115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48675" y="761671"/>
          <a:ext cx="7791450" cy="5448629"/>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21824</xdr:rowOff>
    </xdr:from>
    <xdr:to>
      <xdr:col>4</xdr:col>
      <xdr:colOff>564810</xdr:colOff>
      <xdr:row>17</xdr:row>
      <xdr:rowOff>177145</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507849"/>
          <a:ext cx="1076344" cy="6982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14</xdr:row>
      <xdr:rowOff>21824</xdr:rowOff>
    </xdr:from>
    <xdr:to>
      <xdr:col>8</xdr:col>
      <xdr:colOff>529708</xdr:colOff>
      <xdr:row>17</xdr:row>
      <xdr:rowOff>177145</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507849"/>
          <a:ext cx="1076345" cy="6982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68183</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29938</xdr:colOff>
      <xdr:row>14</xdr:row>
      <xdr:rowOff>56326</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46588</xdr:colOff>
      <xdr:row>13</xdr:row>
      <xdr:rowOff>101614</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21963</xdr:colOff>
      <xdr:row>13</xdr:row>
      <xdr:rowOff>111594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66</xdr:row>
      <xdr:rowOff>99703</xdr:rowOff>
    </xdr:from>
    <xdr:to>
      <xdr:col>12</xdr:col>
      <xdr:colOff>533401</xdr:colOff>
      <xdr:row>70</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3</xdr:col>
      <xdr:colOff>9525</xdr:colOff>
      <xdr:row>27</xdr:row>
      <xdr:rowOff>66675</xdr:rowOff>
    </xdr:from>
    <xdr:to>
      <xdr:col>11</xdr:col>
      <xdr:colOff>254304</xdr:colOff>
      <xdr:row>35</xdr:row>
      <xdr:rowOff>438146</xdr:rowOff>
    </xdr:to>
    <xdr:pic>
      <xdr:nvPicPr>
        <xdr:cNvPr id="13" name="Picture 12">
          <a:extLst>
            <a:ext uri="{FF2B5EF4-FFF2-40B4-BE49-F238E27FC236}">
              <a16:creationId xmlns:a16="http://schemas.microsoft.com/office/drawing/2014/main" id="{012C9FDF-BCA9-42FC-9D37-25FDF15148DB}"/>
            </a:ext>
          </a:extLst>
        </xdr:cNvPr>
        <xdr:cNvPicPr>
          <a:picLocks noChangeAspect="1"/>
        </xdr:cNvPicPr>
      </xdr:nvPicPr>
      <xdr:blipFill rotWithShape="1">
        <a:blip xmlns:r="http://schemas.openxmlformats.org/officeDocument/2006/relationships" r:embed="rId10"/>
        <a:srcRect l="51428" t="38163" r="34591" b="44722"/>
        <a:stretch/>
      </xdr:blipFill>
      <xdr:spPr>
        <a:xfrm>
          <a:off x="1838325" y="4962525"/>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21009"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zoomScaleNormal="100" workbookViewId="0">
      <selection activeCell="C15" sqref="C15"/>
    </sheetView>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56.25" x14ac:dyDescent="0.25">
      <c r="M12" s="203" t="s">
        <v>0</v>
      </c>
    </row>
  </sheetData>
  <sheetProtection algorithmName="SHA-512" hashValue="6baDmiszmS4V0By93YkEn3Wd+ZhBoBHTQSqjCHHcZsZGiRjwPMZ23DoLU+4BUCKF2OfdSxW4eLAtLNrhwwuflA==" saltValue="OxeMuwd+zZbX12cGlSrUl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tabSelected="1" topLeftCell="A4" zoomScaleNormal="100" workbookViewId="0">
      <selection activeCell="B36" sqref="B36:M36"/>
    </sheetView>
  </sheetViews>
  <sheetFormatPr defaultColWidth="9.140625" defaultRowHeight="15" x14ac:dyDescent="0.25"/>
  <cols>
    <col min="1" max="13" width="9.140625" style="133"/>
    <col min="14" max="14" width="1.7109375" style="133" customWidth="1"/>
    <col min="15" max="16384" width="9.140625" style="133"/>
  </cols>
  <sheetData>
    <row r="2" spans="2:14" ht="15.75" thickBot="1" x14ac:dyDescent="0.3"/>
    <row r="3" spans="2:14" ht="15.75" customHeight="1" thickTop="1" x14ac:dyDescent="0.25">
      <c r="B3" s="208" t="s">
        <v>1</v>
      </c>
      <c r="C3" s="209"/>
      <c r="D3" s="209"/>
      <c r="E3" s="209"/>
      <c r="F3" s="209"/>
      <c r="G3" s="209"/>
      <c r="H3" s="209"/>
      <c r="I3" s="209"/>
      <c r="J3" s="209"/>
      <c r="K3" s="209"/>
      <c r="L3" s="209"/>
      <c r="M3" s="209"/>
      <c r="N3" s="210"/>
    </row>
    <row r="4" spans="2:14" ht="15" customHeight="1" x14ac:dyDescent="0.25">
      <c r="B4" s="211"/>
      <c r="C4" s="212"/>
      <c r="D4" s="212"/>
      <c r="E4" s="212"/>
      <c r="F4" s="212"/>
      <c r="G4" s="212"/>
      <c r="H4" s="212"/>
      <c r="I4" s="212"/>
      <c r="J4" s="212"/>
      <c r="K4" s="212"/>
      <c r="L4" s="212"/>
      <c r="M4" s="212"/>
      <c r="N4" s="213"/>
    </row>
    <row r="5" spans="2:14" ht="15" customHeight="1" x14ac:dyDescent="0.25">
      <c r="B5" s="211"/>
      <c r="C5" s="212"/>
      <c r="D5" s="212"/>
      <c r="E5" s="212"/>
      <c r="F5" s="212"/>
      <c r="G5" s="212"/>
      <c r="H5" s="212"/>
      <c r="I5" s="212"/>
      <c r="J5" s="212"/>
      <c r="K5" s="212"/>
      <c r="L5" s="212"/>
      <c r="M5" s="212"/>
      <c r="N5" s="213"/>
    </row>
    <row r="6" spans="2:14" ht="8.25" customHeight="1" x14ac:dyDescent="0.25">
      <c r="B6" s="128"/>
      <c r="C6" s="1"/>
      <c r="D6" s="1"/>
      <c r="E6" s="1"/>
      <c r="F6" s="1"/>
      <c r="G6" s="1"/>
      <c r="H6" s="1"/>
      <c r="I6" s="1"/>
      <c r="J6" s="1"/>
      <c r="K6" s="1"/>
      <c r="L6" s="1"/>
      <c r="M6" s="1"/>
      <c r="N6" s="117"/>
    </row>
    <row r="7" spans="2:14" ht="56.25" customHeight="1" x14ac:dyDescent="0.25">
      <c r="B7" s="214" t="s">
        <v>2</v>
      </c>
      <c r="C7" s="215"/>
      <c r="D7" s="215"/>
      <c r="E7" s="215"/>
      <c r="F7" s="215"/>
      <c r="G7" s="215"/>
      <c r="H7" s="215"/>
      <c r="I7" s="215"/>
      <c r="J7" s="215"/>
      <c r="K7" s="215"/>
      <c r="L7" s="215"/>
      <c r="M7" s="215"/>
      <c r="N7" s="117"/>
    </row>
    <row r="8" spans="2:14" ht="59.25" customHeight="1" x14ac:dyDescent="0.25">
      <c r="B8" s="216" t="s">
        <v>3</v>
      </c>
      <c r="C8" s="217"/>
      <c r="D8" s="217"/>
      <c r="E8" s="217"/>
      <c r="F8" s="217"/>
      <c r="G8" s="217"/>
      <c r="H8" s="217"/>
      <c r="I8" s="217"/>
      <c r="J8" s="217"/>
      <c r="K8" s="217"/>
      <c r="L8" s="217"/>
      <c r="M8" s="217"/>
      <c r="N8" s="117"/>
    </row>
    <row r="9" spans="2:14" x14ac:dyDescent="0.25">
      <c r="B9" s="129"/>
      <c r="C9" s="22"/>
      <c r="D9" s="22"/>
      <c r="E9" s="22"/>
      <c r="F9" s="22"/>
      <c r="G9" s="22"/>
      <c r="H9" s="22"/>
      <c r="I9" s="22"/>
      <c r="J9" s="22"/>
      <c r="K9" s="22"/>
      <c r="L9" s="22"/>
      <c r="M9" s="22"/>
      <c r="N9" s="117"/>
    </row>
    <row r="10" spans="2:14" x14ac:dyDescent="0.25">
      <c r="B10" s="129"/>
      <c r="C10" s="22"/>
      <c r="D10" s="22"/>
      <c r="E10" s="22"/>
      <c r="F10" s="22"/>
      <c r="G10" s="22"/>
      <c r="H10" s="22"/>
      <c r="I10" s="22"/>
      <c r="J10" s="22"/>
      <c r="K10" s="22"/>
      <c r="L10" s="22"/>
      <c r="M10" s="22"/>
      <c r="N10" s="117"/>
    </row>
    <row r="11" spans="2:14" x14ac:dyDescent="0.25">
      <c r="B11" s="129"/>
      <c r="C11" s="22"/>
      <c r="D11" s="22"/>
      <c r="E11" s="22"/>
      <c r="F11" s="22"/>
      <c r="G11" s="22"/>
      <c r="H11" s="22"/>
      <c r="I11" s="22"/>
      <c r="J11" s="22"/>
      <c r="K11" s="22"/>
      <c r="L11" s="22"/>
      <c r="M11" s="22"/>
      <c r="N11" s="117"/>
    </row>
    <row r="12" spans="2:14" x14ac:dyDescent="0.25">
      <c r="B12" s="129"/>
      <c r="C12" s="22"/>
      <c r="D12" s="22"/>
      <c r="E12" s="22"/>
      <c r="F12" s="22"/>
      <c r="G12" s="22"/>
      <c r="H12" s="22"/>
      <c r="I12" s="22"/>
      <c r="J12" s="22"/>
      <c r="K12" s="22"/>
      <c r="L12" s="22"/>
      <c r="M12" s="22"/>
      <c r="N12" s="117"/>
    </row>
    <row r="13" spans="2:14" x14ac:dyDescent="0.25">
      <c r="B13" s="129"/>
      <c r="C13" s="22"/>
      <c r="D13" s="22"/>
      <c r="E13" s="22"/>
      <c r="F13" s="22"/>
      <c r="G13" s="22"/>
      <c r="H13" s="22"/>
      <c r="I13" s="22"/>
      <c r="J13" s="22"/>
      <c r="K13" s="22"/>
      <c r="L13" s="22"/>
      <c r="M13" s="22"/>
      <c r="N13" s="117"/>
    </row>
    <row r="14" spans="2:14" x14ac:dyDescent="0.25">
      <c r="B14" s="129"/>
      <c r="C14" s="22"/>
      <c r="D14" s="22"/>
      <c r="E14" s="22"/>
      <c r="F14" s="22"/>
      <c r="G14" s="22"/>
      <c r="H14" s="22"/>
      <c r="I14" s="22"/>
      <c r="J14" s="22"/>
      <c r="K14" s="22"/>
      <c r="L14" s="22"/>
      <c r="M14" s="22"/>
      <c r="N14" s="117"/>
    </row>
    <row r="15" spans="2:14" x14ac:dyDescent="0.25">
      <c r="B15" s="129"/>
      <c r="C15" s="22"/>
      <c r="D15" s="22"/>
      <c r="E15" s="22"/>
      <c r="F15" s="22"/>
      <c r="G15" s="22"/>
      <c r="H15" s="22"/>
      <c r="I15" s="22"/>
      <c r="J15" s="22"/>
      <c r="K15" s="22"/>
      <c r="L15" s="22"/>
      <c r="M15" s="22"/>
      <c r="N15" s="117"/>
    </row>
    <row r="16" spans="2:14" x14ac:dyDescent="0.25">
      <c r="B16" s="129"/>
      <c r="C16" s="22"/>
      <c r="D16" s="22"/>
      <c r="E16" s="22"/>
      <c r="F16" s="22"/>
      <c r="G16" s="22"/>
      <c r="H16" s="22"/>
      <c r="I16" s="22"/>
      <c r="J16" s="22"/>
      <c r="K16" s="22"/>
      <c r="L16" s="22"/>
      <c r="M16" s="22"/>
      <c r="N16" s="117"/>
    </row>
    <row r="17" spans="2:14" x14ac:dyDescent="0.25">
      <c r="B17" s="129"/>
      <c r="C17" s="22"/>
      <c r="D17" s="22"/>
      <c r="E17" s="22"/>
      <c r="F17" s="22"/>
      <c r="G17" s="22"/>
      <c r="H17" s="22"/>
      <c r="I17" s="22"/>
      <c r="J17" s="22"/>
      <c r="K17" s="22"/>
      <c r="L17" s="22"/>
      <c r="M17" s="22"/>
      <c r="N17" s="117"/>
    </row>
    <row r="18" spans="2:14" x14ac:dyDescent="0.25">
      <c r="B18" s="129"/>
      <c r="C18" s="22"/>
      <c r="D18" s="22"/>
      <c r="E18" s="22"/>
      <c r="F18" s="22"/>
      <c r="G18" s="22"/>
      <c r="H18" s="22"/>
      <c r="I18" s="22"/>
      <c r="J18" s="22"/>
      <c r="K18" s="22"/>
      <c r="L18" s="22"/>
      <c r="M18" s="22"/>
      <c r="N18" s="117"/>
    </row>
    <row r="19" spans="2:14" x14ac:dyDescent="0.25">
      <c r="B19" s="129"/>
      <c r="C19" s="22"/>
      <c r="D19" s="22"/>
      <c r="E19" s="22"/>
      <c r="F19" s="22"/>
      <c r="G19" s="22"/>
      <c r="H19" s="22"/>
      <c r="I19" s="22"/>
      <c r="J19" s="22"/>
      <c r="K19" s="22"/>
      <c r="L19" s="22"/>
      <c r="M19" s="22"/>
      <c r="N19" s="117"/>
    </row>
    <row r="20" spans="2:14" x14ac:dyDescent="0.25">
      <c r="B20" s="129"/>
      <c r="C20" s="22"/>
      <c r="D20" s="22"/>
      <c r="E20" s="22"/>
      <c r="F20" s="22"/>
      <c r="G20" s="22"/>
      <c r="H20" s="22"/>
      <c r="I20" s="22"/>
      <c r="J20" s="22"/>
      <c r="K20" s="22"/>
      <c r="L20" s="22"/>
      <c r="M20" s="22"/>
      <c r="N20" s="117"/>
    </row>
    <row r="21" spans="2:14" x14ac:dyDescent="0.25">
      <c r="B21" s="129"/>
      <c r="C21" s="22"/>
      <c r="D21" s="22"/>
      <c r="E21" s="22"/>
      <c r="F21" s="22"/>
      <c r="G21" s="22"/>
      <c r="H21" s="22"/>
      <c r="I21" s="22"/>
      <c r="J21" s="22"/>
      <c r="K21" s="22"/>
      <c r="L21" s="22"/>
      <c r="M21" s="22"/>
      <c r="N21" s="117"/>
    </row>
    <row r="22" spans="2:14" x14ac:dyDescent="0.25">
      <c r="B22" s="129"/>
      <c r="C22" s="22"/>
      <c r="D22" s="22"/>
      <c r="E22" s="22"/>
      <c r="F22" s="22"/>
      <c r="G22" s="22"/>
      <c r="H22" s="22"/>
      <c r="I22" s="22"/>
      <c r="J22" s="22"/>
      <c r="K22" s="22"/>
      <c r="L22" s="22"/>
      <c r="M22" s="22"/>
      <c r="N22" s="117"/>
    </row>
    <row r="23" spans="2:14" x14ac:dyDescent="0.25">
      <c r="B23" s="129"/>
      <c r="C23" s="22"/>
      <c r="D23" s="22"/>
      <c r="E23" s="22"/>
      <c r="F23" s="22"/>
      <c r="G23" s="22"/>
      <c r="H23" s="22"/>
      <c r="I23" s="22"/>
      <c r="J23" s="22"/>
      <c r="K23" s="22"/>
      <c r="L23" s="22"/>
      <c r="M23" s="22"/>
      <c r="N23" s="117"/>
    </row>
    <row r="24" spans="2:14" x14ac:dyDescent="0.25">
      <c r="B24" s="129"/>
      <c r="C24" s="22"/>
      <c r="D24" s="22"/>
      <c r="E24" s="22"/>
      <c r="F24" s="22"/>
      <c r="G24" s="22"/>
      <c r="H24" s="22"/>
      <c r="I24" s="22"/>
      <c r="J24" s="22"/>
      <c r="K24" s="22"/>
      <c r="L24" s="22"/>
      <c r="M24" s="22"/>
      <c r="N24" s="117"/>
    </row>
    <row r="25" spans="2:14" x14ac:dyDescent="0.25">
      <c r="B25" s="129"/>
      <c r="C25" s="22"/>
      <c r="D25" s="22"/>
      <c r="E25" s="22"/>
      <c r="F25" s="22"/>
      <c r="G25" s="22"/>
      <c r="H25" s="22"/>
      <c r="I25" s="22"/>
      <c r="J25" s="22"/>
      <c r="K25" s="22"/>
      <c r="L25" s="22"/>
      <c r="M25" s="22"/>
      <c r="N25" s="117"/>
    </row>
    <row r="26" spans="2:14" x14ac:dyDescent="0.25">
      <c r="B26" s="129"/>
      <c r="C26" s="22"/>
      <c r="D26" s="22"/>
      <c r="E26" s="22"/>
      <c r="F26" s="22"/>
      <c r="G26" s="22"/>
      <c r="H26" s="22"/>
      <c r="I26" s="22"/>
      <c r="J26" s="22"/>
      <c r="K26" s="22"/>
      <c r="L26" s="22"/>
      <c r="M26" s="22"/>
      <c r="N26" s="117"/>
    </row>
    <row r="27" spans="2:14" x14ac:dyDescent="0.25">
      <c r="B27" s="129"/>
      <c r="C27" s="22"/>
      <c r="D27" s="22"/>
      <c r="E27" s="22"/>
      <c r="F27" s="22"/>
      <c r="G27" s="22"/>
      <c r="H27" s="22"/>
      <c r="I27" s="22"/>
      <c r="J27" s="22"/>
      <c r="K27" s="22"/>
      <c r="L27" s="22"/>
      <c r="M27" s="22"/>
      <c r="N27" s="117"/>
    </row>
    <row r="28" spans="2:14" x14ac:dyDescent="0.25">
      <c r="B28" s="129"/>
      <c r="C28" s="22"/>
      <c r="D28" s="22"/>
      <c r="E28" s="22"/>
      <c r="F28" s="22"/>
      <c r="G28" s="22"/>
      <c r="H28" s="22"/>
      <c r="I28" s="22"/>
      <c r="J28" s="22"/>
      <c r="K28" s="22"/>
      <c r="L28" s="22"/>
      <c r="M28" s="22"/>
      <c r="N28" s="117"/>
    </row>
    <row r="29" spans="2:14" x14ac:dyDescent="0.25">
      <c r="B29" s="129"/>
      <c r="C29" s="22"/>
      <c r="D29" s="22"/>
      <c r="E29" s="22"/>
      <c r="F29" s="22"/>
      <c r="G29" s="22"/>
      <c r="H29" s="22"/>
      <c r="I29" s="22"/>
      <c r="J29" s="22"/>
      <c r="K29" s="22"/>
      <c r="L29" s="22"/>
      <c r="M29" s="22"/>
      <c r="N29" s="117"/>
    </row>
    <row r="30" spans="2:14" x14ac:dyDescent="0.25">
      <c r="B30" s="129"/>
      <c r="C30" s="22"/>
      <c r="D30" s="22"/>
      <c r="E30" s="22"/>
      <c r="F30" s="22"/>
      <c r="G30" s="22"/>
      <c r="H30" s="22"/>
      <c r="I30" s="22"/>
      <c r="J30" s="22"/>
      <c r="K30" s="22"/>
      <c r="L30" s="22"/>
      <c r="M30" s="22"/>
      <c r="N30" s="117"/>
    </row>
    <row r="31" spans="2:14" x14ac:dyDescent="0.25">
      <c r="B31" s="129"/>
      <c r="C31" s="22"/>
      <c r="D31" s="22"/>
      <c r="E31" s="22"/>
      <c r="F31" s="22"/>
      <c r="G31" s="22"/>
      <c r="H31" s="22"/>
      <c r="I31" s="22"/>
      <c r="J31" s="22"/>
      <c r="K31" s="22"/>
      <c r="L31" s="22"/>
      <c r="M31" s="22"/>
      <c r="N31" s="117"/>
    </row>
    <row r="32" spans="2:14" x14ac:dyDescent="0.25">
      <c r="B32" s="129"/>
      <c r="C32" s="22"/>
      <c r="D32" s="22"/>
      <c r="E32" s="22"/>
      <c r="F32" s="22"/>
      <c r="G32" s="22"/>
      <c r="H32" s="22"/>
      <c r="I32" s="22"/>
      <c r="J32" s="22"/>
      <c r="K32" s="22"/>
      <c r="L32" s="22"/>
      <c r="M32" s="22"/>
      <c r="N32" s="117"/>
    </row>
    <row r="33" spans="2:14" x14ac:dyDescent="0.25">
      <c r="B33" s="129"/>
      <c r="C33" s="22"/>
      <c r="D33" s="22"/>
      <c r="E33" s="22"/>
      <c r="F33" s="22"/>
      <c r="G33" s="22"/>
      <c r="H33" s="22"/>
      <c r="I33" s="22"/>
      <c r="J33" s="22"/>
      <c r="K33" s="22"/>
      <c r="L33" s="22"/>
      <c r="M33" s="22"/>
      <c r="N33" s="117"/>
    </row>
    <row r="34" spans="2:14" ht="57.75" customHeight="1" x14ac:dyDescent="0.25">
      <c r="B34" s="216" t="s">
        <v>4</v>
      </c>
      <c r="C34" s="217"/>
      <c r="D34" s="217"/>
      <c r="E34" s="217"/>
      <c r="F34" s="217"/>
      <c r="G34" s="217"/>
      <c r="H34" s="217"/>
      <c r="I34" s="217"/>
      <c r="J34" s="217"/>
      <c r="K34" s="217"/>
      <c r="L34" s="217"/>
      <c r="M34" s="217"/>
      <c r="N34" s="117"/>
    </row>
    <row r="35" spans="2:14" ht="60" customHeight="1" x14ac:dyDescent="0.25">
      <c r="B35" s="214" t="s">
        <v>5</v>
      </c>
      <c r="C35" s="215"/>
      <c r="D35" s="215"/>
      <c r="E35" s="215"/>
      <c r="F35" s="215"/>
      <c r="G35" s="215"/>
      <c r="H35" s="215"/>
      <c r="I35" s="215"/>
      <c r="J35" s="215"/>
      <c r="K35" s="215"/>
      <c r="L35" s="215"/>
      <c r="M35" s="215"/>
      <c r="N35" s="117"/>
    </row>
    <row r="36" spans="2:14" ht="81.75" customHeight="1" thickBot="1" x14ac:dyDescent="0.3">
      <c r="B36" s="206" t="s">
        <v>6</v>
      </c>
      <c r="C36" s="207"/>
      <c r="D36" s="207"/>
      <c r="E36" s="207"/>
      <c r="F36" s="207"/>
      <c r="G36" s="207"/>
      <c r="H36" s="207"/>
      <c r="I36" s="207"/>
      <c r="J36" s="207"/>
      <c r="K36" s="207"/>
      <c r="L36" s="207"/>
      <c r="M36" s="207"/>
      <c r="N36" s="132"/>
    </row>
    <row r="37" spans="2:14" ht="15.75" thickTop="1" x14ac:dyDescent="0.25">
      <c r="B37" s="30"/>
      <c r="C37" s="30"/>
      <c r="D37" s="30"/>
      <c r="E37" s="30"/>
      <c r="F37" s="30"/>
      <c r="G37" s="30"/>
      <c r="H37" s="30"/>
      <c r="I37" s="30"/>
      <c r="J37" s="30"/>
      <c r="K37" s="30"/>
      <c r="L37" s="30"/>
      <c r="M37" s="30"/>
    </row>
    <row r="38" spans="2:14" x14ac:dyDescent="0.25">
      <c r="B38" s="30"/>
      <c r="C38" s="30"/>
      <c r="D38" s="30"/>
      <c r="E38" s="30"/>
      <c r="F38" s="30"/>
      <c r="G38" s="30"/>
      <c r="H38" s="30"/>
      <c r="I38" s="30"/>
      <c r="J38" s="30"/>
      <c r="K38" s="30"/>
      <c r="L38" s="30"/>
      <c r="M38" s="30"/>
    </row>
    <row r="39" spans="2:14" x14ac:dyDescent="0.25">
      <c r="B39" s="30"/>
      <c r="C39" s="30"/>
      <c r="D39" s="30"/>
      <c r="E39" s="30"/>
      <c r="F39" s="30"/>
      <c r="G39" s="30"/>
      <c r="H39" s="30"/>
      <c r="I39" s="30"/>
      <c r="J39" s="30"/>
      <c r="K39" s="30"/>
      <c r="L39" s="30"/>
      <c r="M39" s="30"/>
    </row>
    <row r="40" spans="2:14" x14ac:dyDescent="0.25">
      <c r="B40" s="30"/>
      <c r="C40" s="30"/>
      <c r="D40" s="30"/>
      <c r="E40" s="30"/>
      <c r="F40" s="30"/>
      <c r="G40" s="30"/>
      <c r="H40" s="30"/>
      <c r="I40" s="30"/>
      <c r="J40" s="30"/>
      <c r="K40" s="30"/>
      <c r="L40" s="30"/>
      <c r="M40" s="30"/>
    </row>
    <row r="41" spans="2:14" x14ac:dyDescent="0.25">
      <c r="B41" s="30"/>
      <c r="C41" s="30"/>
      <c r="D41" s="30"/>
      <c r="E41" s="30"/>
      <c r="F41" s="30"/>
      <c r="G41" s="30"/>
      <c r="H41" s="30"/>
      <c r="I41" s="30"/>
      <c r="J41" s="30"/>
      <c r="K41" s="30"/>
      <c r="L41" s="30"/>
      <c r="M41" s="30"/>
    </row>
    <row r="42" spans="2:14" x14ac:dyDescent="0.25">
      <c r="B42" s="30"/>
      <c r="C42" s="30"/>
      <c r="D42" s="30"/>
      <c r="E42" s="30"/>
      <c r="F42" s="30"/>
      <c r="G42" s="30"/>
      <c r="H42" s="30"/>
      <c r="I42" s="30"/>
      <c r="J42" s="30"/>
      <c r="K42" s="30"/>
      <c r="L42" s="30"/>
      <c r="M42" s="30"/>
    </row>
    <row r="43" spans="2:14" x14ac:dyDescent="0.25">
      <c r="B43" s="30"/>
      <c r="C43" s="30"/>
      <c r="D43" s="30"/>
      <c r="E43" s="30"/>
      <c r="F43" s="30"/>
      <c r="G43" s="30"/>
      <c r="H43" s="30"/>
      <c r="I43" s="30"/>
      <c r="J43" s="30"/>
      <c r="K43" s="30"/>
      <c r="L43" s="30"/>
      <c r="M43" s="30"/>
    </row>
    <row r="44" spans="2:14" x14ac:dyDescent="0.25">
      <c r="B44" s="30"/>
      <c r="C44" s="30"/>
      <c r="D44" s="30"/>
      <c r="E44" s="30"/>
      <c r="F44" s="30"/>
      <c r="G44" s="30"/>
      <c r="H44" s="30"/>
      <c r="I44" s="30"/>
      <c r="J44" s="30"/>
      <c r="K44" s="30"/>
      <c r="L44" s="30"/>
      <c r="M44" s="30"/>
    </row>
    <row r="45" spans="2:14" x14ac:dyDescent="0.25">
      <c r="B45" s="30"/>
      <c r="C45" s="30"/>
      <c r="D45" s="30"/>
      <c r="E45" s="30"/>
      <c r="F45" s="30"/>
      <c r="G45" s="30"/>
      <c r="H45" s="30"/>
      <c r="I45" s="30"/>
      <c r="J45" s="30"/>
      <c r="K45" s="30"/>
      <c r="L45" s="30"/>
      <c r="M45" s="30"/>
    </row>
    <row r="46" spans="2:14" x14ac:dyDescent="0.25">
      <c r="B46" s="30"/>
      <c r="C46" s="30"/>
      <c r="D46" s="30"/>
      <c r="E46" s="30"/>
      <c r="F46" s="30"/>
      <c r="G46" s="30"/>
      <c r="H46" s="30"/>
      <c r="I46" s="30"/>
      <c r="J46" s="30"/>
      <c r="K46" s="30"/>
      <c r="L46" s="30"/>
      <c r="M46" s="30"/>
    </row>
    <row r="47" spans="2:14" x14ac:dyDescent="0.25">
      <c r="B47" s="30"/>
      <c r="C47" s="30"/>
      <c r="D47" s="30"/>
      <c r="E47" s="30"/>
      <c r="F47" s="30"/>
      <c r="G47" s="30"/>
      <c r="H47" s="30"/>
      <c r="I47" s="30"/>
      <c r="J47" s="30"/>
      <c r="K47" s="30"/>
      <c r="L47" s="30"/>
      <c r="M47" s="30"/>
    </row>
    <row r="48" spans="2:14"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sheetData>
  <sheetProtection algorithmName="SHA-512" hashValue="Tv9wG45lzRUA/K2XiZDy9YPzVbkBgaMaflRnGFwfR1dNehabCv9+xzH7SMHuw/3qOZLuAli580TVWCBIXfoOYw==" saltValue="s46CILMH5LjXUgEXonic7w=="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5D0B-A84B-4CCB-B07E-F76FC23BB546}">
  <dimension ref="B3:AE96"/>
  <sheetViews>
    <sheetView topLeftCell="B7" zoomScaleNormal="100" workbookViewId="0">
      <selection activeCell="B7" sqref="B7:M7"/>
    </sheetView>
  </sheetViews>
  <sheetFormatPr defaultColWidth="9.140625" defaultRowHeight="15" x14ac:dyDescent="0.25"/>
  <cols>
    <col min="1" max="13" width="9.140625" style="133"/>
    <col min="14" max="14" width="1.7109375" style="133" customWidth="1"/>
    <col min="15" max="26" width="9.140625" style="133"/>
    <col min="27" max="27" width="2.7109375" style="133" customWidth="1"/>
    <col min="28" max="28" width="0.7109375" style="133" hidden="1" customWidth="1"/>
    <col min="29" max="30" width="9.140625" style="133" hidden="1" customWidth="1"/>
    <col min="31" max="31" width="5.140625" style="133" hidden="1" customWidth="1"/>
    <col min="32" max="16384" width="9.140625" style="133"/>
  </cols>
  <sheetData>
    <row r="3" spans="2:31" ht="15.75" customHeight="1" x14ac:dyDescent="0.25">
      <c r="B3" s="220" t="s">
        <v>7</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2:31" ht="15" customHeight="1" x14ac:dyDescent="0.25">
      <c r="B4" s="220"/>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row>
    <row r="5" spans="2:31" ht="8.25" customHeight="1" x14ac:dyDescent="0.25">
      <c r="B5" s="128"/>
      <c r="C5" s="1"/>
      <c r="D5" s="1"/>
      <c r="E5" s="1"/>
      <c r="F5" s="1"/>
      <c r="G5" s="1"/>
      <c r="H5" s="1"/>
      <c r="I5" s="1"/>
      <c r="J5" s="1"/>
      <c r="K5" s="1"/>
      <c r="L5" s="1"/>
      <c r="M5" s="1"/>
      <c r="N5" s="117"/>
    </row>
    <row r="6" spans="2:31" ht="34.5" customHeight="1" x14ac:dyDescent="0.25">
      <c r="B6" s="214" t="s">
        <v>8</v>
      </c>
      <c r="C6" s="215"/>
      <c r="D6" s="215"/>
      <c r="E6" s="215"/>
      <c r="F6" s="215"/>
      <c r="G6" s="215"/>
      <c r="H6" s="215"/>
      <c r="I6" s="215"/>
      <c r="J6" s="215"/>
      <c r="K6" s="215"/>
      <c r="L6" s="215"/>
      <c r="M6" s="215"/>
      <c r="N6" s="117"/>
    </row>
    <row r="7" spans="2:31" ht="60" customHeight="1" x14ac:dyDescent="0.25">
      <c r="B7" s="218" t="s">
        <v>9</v>
      </c>
      <c r="C7" s="219"/>
      <c r="D7" s="219"/>
      <c r="E7" s="219"/>
      <c r="F7" s="219"/>
      <c r="G7" s="219"/>
      <c r="H7" s="219"/>
      <c r="I7" s="219"/>
      <c r="J7" s="219"/>
      <c r="K7" s="219"/>
      <c r="L7" s="219"/>
      <c r="M7" s="219"/>
      <c r="N7" s="117"/>
    </row>
    <row r="8" spans="2:31" ht="48.75" customHeight="1" x14ac:dyDescent="0.25">
      <c r="B8" s="218" t="s">
        <v>10</v>
      </c>
      <c r="C8" s="219"/>
      <c r="D8" s="219"/>
      <c r="E8" s="219"/>
      <c r="F8" s="219"/>
      <c r="G8" s="219"/>
      <c r="H8" s="219"/>
      <c r="I8" s="219"/>
      <c r="J8" s="219"/>
      <c r="K8" s="219"/>
      <c r="L8" s="219"/>
      <c r="M8" s="219"/>
      <c r="N8" s="117"/>
    </row>
    <row r="9" spans="2:31" ht="78" customHeight="1" x14ac:dyDescent="0.25">
      <c r="B9" s="218" t="s">
        <v>11</v>
      </c>
      <c r="C9" s="219"/>
      <c r="D9" s="219"/>
      <c r="E9" s="219"/>
      <c r="F9" s="219"/>
      <c r="G9" s="219"/>
      <c r="H9" s="219"/>
      <c r="I9" s="219"/>
      <c r="J9" s="219"/>
      <c r="K9" s="219"/>
      <c r="L9" s="219"/>
      <c r="M9" s="219"/>
      <c r="N9" s="117"/>
    </row>
    <row r="10" spans="2:31" ht="51.75" customHeight="1" x14ac:dyDescent="0.25">
      <c r="B10" s="218" t="s">
        <v>12</v>
      </c>
      <c r="C10" s="219"/>
      <c r="D10" s="219"/>
      <c r="E10" s="219"/>
      <c r="F10" s="219"/>
      <c r="G10" s="219"/>
      <c r="H10" s="219"/>
      <c r="I10" s="219"/>
      <c r="J10" s="219"/>
      <c r="K10" s="219"/>
      <c r="L10" s="219"/>
      <c r="M10" s="219"/>
      <c r="N10" s="117"/>
    </row>
    <row r="11" spans="2:31" ht="15" customHeight="1" thickBot="1" x14ac:dyDescent="0.3">
      <c r="B11" s="206"/>
      <c r="C11" s="207"/>
      <c r="D11" s="207"/>
      <c r="E11" s="207"/>
      <c r="F11" s="207"/>
      <c r="G11" s="207"/>
      <c r="H11" s="207"/>
      <c r="I11" s="207"/>
      <c r="J11" s="207"/>
      <c r="K11" s="207"/>
      <c r="L11" s="207"/>
      <c r="M11" s="207"/>
      <c r="N11" s="132"/>
    </row>
    <row r="12" spans="2:31" ht="15.75" thickTop="1" x14ac:dyDescent="0.25">
      <c r="B12" s="30"/>
      <c r="C12" s="30"/>
      <c r="D12" s="30"/>
      <c r="E12" s="30"/>
      <c r="F12" s="30"/>
      <c r="G12" s="30"/>
      <c r="H12" s="30"/>
      <c r="I12" s="30"/>
      <c r="J12" s="30"/>
      <c r="K12" s="30"/>
      <c r="L12" s="30"/>
      <c r="M12" s="30"/>
    </row>
    <row r="13" spans="2:31" x14ac:dyDescent="0.25">
      <c r="B13" s="30"/>
      <c r="C13" s="30"/>
      <c r="D13" s="30"/>
      <c r="E13" s="30"/>
      <c r="F13" s="30"/>
      <c r="G13" s="30"/>
      <c r="H13" s="30"/>
      <c r="I13" s="30"/>
      <c r="J13" s="30"/>
      <c r="K13" s="30"/>
      <c r="L13" s="30"/>
      <c r="M13" s="30"/>
    </row>
    <row r="14" spans="2:31" x14ac:dyDescent="0.25">
      <c r="B14" s="30"/>
      <c r="C14" s="30"/>
      <c r="D14" s="30"/>
      <c r="E14" s="30"/>
      <c r="F14" s="30"/>
      <c r="G14" s="30"/>
      <c r="H14" s="30"/>
      <c r="I14" s="30"/>
      <c r="J14" s="30"/>
      <c r="K14" s="30"/>
      <c r="L14" s="30"/>
      <c r="M14" s="30"/>
    </row>
    <row r="15" spans="2:31" x14ac:dyDescent="0.25">
      <c r="B15" s="30"/>
      <c r="C15" s="30"/>
      <c r="D15" s="30"/>
      <c r="E15" s="30"/>
      <c r="F15" s="30"/>
      <c r="G15" s="30"/>
      <c r="H15" s="30"/>
      <c r="I15" s="30"/>
      <c r="J15" s="30"/>
      <c r="K15" s="30"/>
      <c r="L15" s="30"/>
      <c r="M15" s="30"/>
    </row>
    <row r="16" spans="2:31"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c r="E18" s="30"/>
      <c r="F18" s="30"/>
      <c r="G18" s="30"/>
      <c r="H18" s="30"/>
      <c r="I18" s="30"/>
      <c r="J18" s="30"/>
      <c r="K18" s="30"/>
      <c r="L18" s="30"/>
      <c r="M18" s="30"/>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x14ac:dyDescent="0.25">
      <c r="B21" s="30"/>
      <c r="C21" s="30"/>
      <c r="D21" s="30"/>
      <c r="E21" s="30"/>
      <c r="F21" s="30"/>
      <c r="G21" s="30"/>
      <c r="H21" s="30"/>
      <c r="I21" s="30"/>
      <c r="J21" s="30"/>
      <c r="K21" s="30"/>
      <c r="L21" s="30"/>
      <c r="M21" s="30"/>
    </row>
    <row r="22" spans="2:13" x14ac:dyDescent="0.25">
      <c r="B22" s="30"/>
      <c r="C22" s="30"/>
      <c r="D22" s="30"/>
      <c r="E22" s="30"/>
      <c r="F22" s="30"/>
      <c r="G22" s="30"/>
      <c r="H22" s="30"/>
      <c r="I22" s="30"/>
      <c r="J22" s="30"/>
      <c r="K22" s="30"/>
      <c r="L22" s="30"/>
      <c r="M22" s="30"/>
    </row>
    <row r="23" spans="2:13" x14ac:dyDescent="0.25">
      <c r="B23" s="30"/>
      <c r="C23" s="30"/>
      <c r="D23" s="30"/>
      <c r="E23" s="30"/>
      <c r="F23" s="30"/>
      <c r="G23" s="30"/>
      <c r="H23" s="30"/>
      <c r="I23" s="30"/>
      <c r="J23" s="30"/>
      <c r="K23" s="30"/>
      <c r="L23" s="30"/>
      <c r="M23" s="30"/>
    </row>
    <row r="24" spans="2:13" x14ac:dyDescent="0.25">
      <c r="B24" s="30"/>
      <c r="C24" s="30"/>
      <c r="D24" s="30"/>
      <c r="E24" s="30"/>
      <c r="F24" s="30"/>
      <c r="G24" s="30"/>
      <c r="H24" s="30"/>
      <c r="I24" s="30"/>
      <c r="J24" s="30"/>
      <c r="K24" s="30"/>
      <c r="L24" s="30"/>
      <c r="M24" s="30"/>
    </row>
    <row r="25" spans="2:13" x14ac:dyDescent="0.25">
      <c r="B25" s="30"/>
      <c r="C25" s="30"/>
      <c r="D25" s="30"/>
      <c r="E25" s="30"/>
      <c r="F25" s="30"/>
      <c r="G25" s="30"/>
      <c r="H25" s="30"/>
      <c r="I25" s="30"/>
      <c r="J25" s="30"/>
      <c r="K25" s="30"/>
      <c r="L25" s="30"/>
      <c r="M25" s="30"/>
    </row>
    <row r="26" spans="2:13" x14ac:dyDescent="0.25">
      <c r="B26" s="30"/>
      <c r="C26" s="30"/>
      <c r="D26" s="30"/>
      <c r="E26" s="30"/>
      <c r="F26" s="30"/>
      <c r="G26" s="30"/>
      <c r="H26" s="30"/>
      <c r="I26" s="30"/>
      <c r="J26" s="30"/>
      <c r="K26" s="30"/>
      <c r="L26" s="30"/>
      <c r="M26" s="30"/>
    </row>
    <row r="27" spans="2:13" x14ac:dyDescent="0.25">
      <c r="B27" s="30"/>
      <c r="C27" s="30"/>
      <c r="D27" s="30"/>
      <c r="E27" s="30"/>
      <c r="F27" s="30"/>
      <c r="G27" s="30"/>
      <c r="H27" s="30"/>
      <c r="I27" s="30"/>
      <c r="J27" s="30"/>
      <c r="K27" s="30"/>
      <c r="L27" s="30"/>
      <c r="M27" s="30"/>
    </row>
    <row r="28" spans="2:13" x14ac:dyDescent="0.25">
      <c r="B28" s="30"/>
      <c r="C28" s="30"/>
      <c r="D28" s="30"/>
      <c r="E28" s="30"/>
      <c r="F28" s="30"/>
      <c r="G28" s="30"/>
      <c r="H28" s="30"/>
      <c r="I28" s="30"/>
      <c r="J28" s="30"/>
      <c r="K28" s="30"/>
      <c r="L28" s="30"/>
      <c r="M28" s="30"/>
    </row>
    <row r="29" spans="2:13" x14ac:dyDescent="0.25">
      <c r="B29" s="30"/>
      <c r="C29" s="30"/>
      <c r="D29" s="30"/>
      <c r="E29" s="30"/>
      <c r="F29" s="30"/>
      <c r="G29" s="30"/>
      <c r="H29" s="30"/>
      <c r="I29" s="30"/>
      <c r="J29" s="30"/>
      <c r="K29" s="30"/>
      <c r="L29" s="30"/>
      <c r="M29" s="30"/>
    </row>
    <row r="30" spans="2:13" x14ac:dyDescent="0.25">
      <c r="B30" s="30"/>
      <c r="C30" s="30"/>
      <c r="D30" s="30"/>
      <c r="E30" s="30"/>
      <c r="F30" s="30"/>
      <c r="G30" s="30"/>
      <c r="H30" s="30"/>
      <c r="I30" s="30"/>
      <c r="J30" s="30"/>
      <c r="K30" s="30"/>
      <c r="L30" s="30"/>
      <c r="M30" s="30"/>
    </row>
    <row r="31" spans="2:13" x14ac:dyDescent="0.25">
      <c r="B31" s="30"/>
      <c r="C31" s="30"/>
      <c r="D31" s="30"/>
      <c r="E31" s="30"/>
      <c r="F31" s="30"/>
      <c r="G31" s="30"/>
      <c r="H31" s="30"/>
      <c r="I31" s="30"/>
      <c r="J31" s="30"/>
      <c r="K31" s="30"/>
      <c r="L31" s="30"/>
      <c r="M31" s="30"/>
    </row>
    <row r="32" spans="2:13" x14ac:dyDescent="0.25">
      <c r="B32" s="30"/>
      <c r="C32" s="30"/>
      <c r="D32" s="30"/>
      <c r="E32" s="30"/>
      <c r="F32" s="30"/>
      <c r="G32" s="30"/>
      <c r="H32" s="30"/>
      <c r="I32" s="30"/>
      <c r="J32" s="30"/>
      <c r="K32" s="30"/>
      <c r="L32" s="30"/>
      <c r="M32" s="30"/>
    </row>
    <row r="33" spans="2:13" x14ac:dyDescent="0.25">
      <c r="B33" s="30"/>
      <c r="C33" s="30"/>
      <c r="D33" s="30"/>
      <c r="E33" s="30"/>
      <c r="F33" s="30"/>
      <c r="G33" s="30"/>
      <c r="H33" s="30"/>
      <c r="I33" s="30"/>
      <c r="J33" s="30"/>
      <c r="K33" s="30"/>
      <c r="L33" s="30"/>
      <c r="M33" s="30"/>
    </row>
    <row r="34" spans="2:13" x14ac:dyDescent="0.25">
      <c r="B34" s="30"/>
      <c r="C34" s="30"/>
      <c r="D34" s="30"/>
      <c r="E34" s="30"/>
      <c r="F34" s="30"/>
      <c r="G34" s="30"/>
      <c r="H34" s="30"/>
      <c r="I34" s="30"/>
      <c r="J34" s="30"/>
      <c r="K34" s="30"/>
      <c r="L34" s="30"/>
      <c r="M34" s="30"/>
    </row>
    <row r="35" spans="2:13" x14ac:dyDescent="0.25">
      <c r="B35" s="30"/>
      <c r="C35" s="30"/>
      <c r="D35" s="30"/>
      <c r="E35" s="30"/>
      <c r="F35" s="30"/>
      <c r="G35" s="30"/>
      <c r="H35" s="30"/>
      <c r="I35" s="30"/>
      <c r="J35" s="30"/>
      <c r="K35" s="30"/>
      <c r="L35" s="30"/>
      <c r="M35" s="30"/>
    </row>
    <row r="36" spans="2:13" x14ac:dyDescent="0.25">
      <c r="B36" s="30"/>
      <c r="C36" s="30"/>
      <c r="D36" s="30"/>
      <c r="E36" s="30"/>
      <c r="F36" s="30"/>
      <c r="G36" s="30"/>
      <c r="H36" s="30"/>
      <c r="I36" s="30"/>
      <c r="J36" s="30"/>
      <c r="K36" s="30"/>
      <c r="L36" s="30"/>
      <c r="M36" s="30"/>
    </row>
    <row r="37" spans="2:13" x14ac:dyDescent="0.25">
      <c r="B37" s="30"/>
      <c r="C37" s="30"/>
      <c r="D37" s="30"/>
      <c r="E37" s="30"/>
      <c r="F37" s="30"/>
      <c r="G37" s="30"/>
      <c r="H37" s="30"/>
      <c r="I37" s="30"/>
      <c r="J37" s="30"/>
      <c r="K37" s="30"/>
      <c r="L37" s="30"/>
      <c r="M37" s="30"/>
    </row>
    <row r="38" spans="2:13" x14ac:dyDescent="0.25">
      <c r="B38" s="30"/>
      <c r="C38" s="30"/>
      <c r="D38" s="30"/>
      <c r="E38" s="30"/>
      <c r="F38" s="30"/>
      <c r="G38" s="30"/>
      <c r="H38" s="30"/>
      <c r="I38" s="30"/>
      <c r="J38" s="30"/>
      <c r="K38" s="30"/>
      <c r="L38" s="30"/>
      <c r="M38" s="30"/>
    </row>
    <row r="39" spans="2:13" x14ac:dyDescent="0.25">
      <c r="B39" s="30"/>
      <c r="C39" s="30"/>
      <c r="D39" s="30"/>
      <c r="E39" s="30"/>
      <c r="F39" s="30"/>
      <c r="G39" s="30"/>
      <c r="H39" s="30"/>
      <c r="I39" s="30"/>
      <c r="J39" s="30"/>
      <c r="K39" s="30"/>
      <c r="L39" s="30"/>
      <c r="M39" s="30"/>
    </row>
    <row r="40" spans="2:13" x14ac:dyDescent="0.25">
      <c r="B40" s="30"/>
      <c r="C40" s="30"/>
      <c r="D40" s="30"/>
      <c r="E40" s="30"/>
      <c r="F40" s="30"/>
      <c r="G40" s="30"/>
      <c r="H40" s="30"/>
      <c r="I40" s="30"/>
      <c r="J40" s="30"/>
      <c r="K40" s="30"/>
      <c r="L40" s="30"/>
      <c r="M40" s="30"/>
    </row>
    <row r="41" spans="2:13" x14ac:dyDescent="0.25">
      <c r="B41" s="30"/>
      <c r="C41" s="30"/>
      <c r="D41" s="30"/>
      <c r="E41" s="30"/>
      <c r="F41" s="30"/>
      <c r="G41" s="30"/>
      <c r="H41" s="30"/>
      <c r="I41" s="30"/>
      <c r="J41" s="30"/>
      <c r="K41" s="30"/>
      <c r="L41" s="30"/>
      <c r="M41" s="30"/>
    </row>
    <row r="42" spans="2:13" x14ac:dyDescent="0.25">
      <c r="B42" s="30"/>
      <c r="C42" s="30"/>
      <c r="D42" s="30"/>
      <c r="E42" s="30"/>
      <c r="F42" s="30"/>
      <c r="G42" s="30"/>
      <c r="H42" s="30"/>
      <c r="I42" s="30"/>
      <c r="J42" s="30"/>
      <c r="K42" s="30"/>
      <c r="L42" s="30"/>
      <c r="M42" s="30"/>
    </row>
    <row r="43" spans="2:13" x14ac:dyDescent="0.25">
      <c r="B43" s="30"/>
      <c r="C43" s="30"/>
      <c r="D43" s="30"/>
      <c r="E43" s="30"/>
      <c r="F43" s="30"/>
      <c r="G43" s="30"/>
      <c r="H43" s="30"/>
      <c r="I43" s="30"/>
      <c r="J43" s="30"/>
      <c r="K43" s="30"/>
      <c r="L43" s="30"/>
      <c r="M43" s="30"/>
    </row>
    <row r="44" spans="2:13" x14ac:dyDescent="0.25">
      <c r="B44" s="30"/>
      <c r="C44" s="30"/>
      <c r="D44" s="30"/>
      <c r="E44" s="30"/>
      <c r="F44" s="30"/>
      <c r="G44" s="30"/>
      <c r="H44" s="30"/>
      <c r="I44" s="30"/>
      <c r="J44" s="30"/>
      <c r="K44" s="30"/>
      <c r="L44" s="30"/>
      <c r="M44" s="30"/>
    </row>
    <row r="45" spans="2:13" x14ac:dyDescent="0.25">
      <c r="B45" s="30"/>
      <c r="C45" s="30"/>
      <c r="D45" s="30"/>
      <c r="E45" s="30"/>
      <c r="F45" s="30"/>
      <c r="G45" s="30"/>
      <c r="H45" s="30"/>
      <c r="I45" s="30"/>
      <c r="J45" s="30"/>
      <c r="K45" s="30"/>
      <c r="L45" s="30"/>
      <c r="M45" s="30"/>
    </row>
    <row r="46" spans="2:13" x14ac:dyDescent="0.25">
      <c r="B46" s="30"/>
      <c r="C46" s="30"/>
      <c r="D46" s="30"/>
      <c r="E46" s="30"/>
      <c r="F46" s="30"/>
      <c r="G46" s="30"/>
      <c r="H46" s="30"/>
      <c r="I46" s="30"/>
      <c r="J46" s="30"/>
      <c r="K46" s="30"/>
      <c r="L46" s="30"/>
      <c r="M46" s="30"/>
    </row>
    <row r="47" spans="2:13" x14ac:dyDescent="0.25">
      <c r="B47" s="30"/>
      <c r="C47" s="30"/>
      <c r="D47" s="30"/>
      <c r="E47" s="30"/>
      <c r="F47" s="30"/>
      <c r="G47" s="30"/>
      <c r="H47" s="30"/>
      <c r="I47" s="30"/>
      <c r="J47" s="30"/>
      <c r="K47" s="30"/>
      <c r="L47" s="30"/>
      <c r="M47" s="30"/>
    </row>
    <row r="48" spans="2:13"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sheetData>
  <sheetProtection algorithmName="SHA-512" hashValue="1sQEm7kZdA+nqVODfeYJlVnRVZn87LIBsK5eW0Xp3e2yEPuzQkcxhkLjtPQR4arQt1Nfci6PgLitGgi0Qxr1OQ==" saltValue="1U3Spv/goET7ivqorTYYTg==" spinCount="100000" sheet="1" objects="1" scenarios="1" selectLockedCells="1" selectUnlockedCells="1"/>
  <mergeCells count="7">
    <mergeCell ref="B10:M10"/>
    <mergeCell ref="B11:M11"/>
    <mergeCell ref="B3:AE4"/>
    <mergeCell ref="B6:M6"/>
    <mergeCell ref="B7:M7"/>
    <mergeCell ref="B8:M8"/>
    <mergeCell ref="B9:M9"/>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3:S133"/>
  <sheetViews>
    <sheetView showRowColHeaders="0" topLeftCell="A33" zoomScaleNormal="100" workbookViewId="0"/>
  </sheetViews>
  <sheetFormatPr defaultColWidth="9.140625" defaultRowHeight="14.25" x14ac:dyDescent="0.2"/>
  <cols>
    <col min="1" max="1" width="9.140625" style="30"/>
    <col min="2" max="2" width="10.42578125" style="30" customWidth="1"/>
    <col min="3" max="12" width="9.140625" style="30"/>
    <col min="13" max="13" width="11.140625" style="30" customWidth="1"/>
    <col min="14" max="14" width="2" style="30" customWidth="1"/>
    <col min="15" max="16384" width="9.140625" style="30"/>
  </cols>
  <sheetData>
    <row r="3" spans="1:14" ht="12.75" customHeight="1" x14ac:dyDescent="0.2">
      <c r="B3" s="235" t="s">
        <v>13</v>
      </c>
      <c r="C3" s="236"/>
      <c r="D3" s="236"/>
      <c r="E3" s="236"/>
      <c r="F3" s="236"/>
      <c r="G3" s="236"/>
      <c r="H3" s="236"/>
      <c r="I3" s="236"/>
      <c r="J3" s="236"/>
      <c r="K3" s="236"/>
      <c r="L3" s="236"/>
      <c r="M3" s="236"/>
      <c r="N3" s="237"/>
    </row>
    <row r="4" spans="1:14" ht="9.75" customHeight="1" x14ac:dyDescent="0.2">
      <c r="B4" s="235"/>
      <c r="C4" s="236"/>
      <c r="D4" s="236"/>
      <c r="E4" s="236"/>
      <c r="F4" s="236"/>
      <c r="G4" s="236"/>
      <c r="H4" s="236"/>
      <c r="I4" s="236"/>
      <c r="J4" s="236"/>
      <c r="K4" s="236"/>
      <c r="L4" s="236"/>
      <c r="M4" s="236"/>
      <c r="N4" s="237"/>
    </row>
    <row r="5" spans="1:14" ht="15.75" customHeight="1" thickBot="1" x14ac:dyDescent="0.25">
      <c r="B5" s="235"/>
      <c r="C5" s="236"/>
      <c r="D5" s="236"/>
      <c r="E5" s="236"/>
      <c r="F5" s="236"/>
      <c r="G5" s="236"/>
      <c r="H5" s="236"/>
      <c r="I5" s="236"/>
      <c r="J5" s="236"/>
      <c r="K5" s="236"/>
      <c r="L5" s="236"/>
      <c r="M5" s="236"/>
      <c r="N5" s="237"/>
    </row>
    <row r="6" spans="1:14" ht="15" thickTop="1" x14ac:dyDescent="0.2">
      <c r="B6" s="194"/>
      <c r="C6" s="195"/>
      <c r="D6" s="195"/>
      <c r="E6" s="195"/>
      <c r="F6" s="195"/>
      <c r="G6" s="195"/>
      <c r="H6" s="195"/>
      <c r="I6" s="195"/>
      <c r="J6" s="195"/>
      <c r="K6" s="195"/>
      <c r="L6" s="195"/>
      <c r="M6" s="195"/>
      <c r="N6" s="196"/>
    </row>
    <row r="7" spans="1:14" x14ac:dyDescent="0.2">
      <c r="A7" s="197"/>
      <c r="B7" s="238" t="s">
        <v>14</v>
      </c>
      <c r="C7" s="239"/>
      <c r="D7" s="239"/>
      <c r="E7" s="239"/>
      <c r="F7" s="239"/>
      <c r="G7" s="239"/>
      <c r="H7" s="239"/>
      <c r="I7" s="239"/>
      <c r="J7" s="239"/>
      <c r="K7" s="239"/>
      <c r="L7" s="239"/>
      <c r="M7" s="239"/>
      <c r="N7" s="130"/>
    </row>
    <row r="8" spans="1:14" x14ac:dyDescent="0.2">
      <c r="B8" s="192"/>
      <c r="C8" s="193"/>
      <c r="D8" s="193"/>
      <c r="E8" s="193"/>
      <c r="F8" s="193"/>
      <c r="G8" s="193"/>
      <c r="H8" s="193"/>
      <c r="I8" s="193"/>
      <c r="J8" s="193"/>
      <c r="K8" s="193"/>
      <c r="L8" s="193"/>
      <c r="M8" s="193"/>
      <c r="N8" s="130"/>
    </row>
    <row r="9" spans="1:14" x14ac:dyDescent="0.2">
      <c r="B9" s="192"/>
      <c r="C9" s="193"/>
      <c r="D9" s="193"/>
      <c r="E9" s="193"/>
      <c r="F9" s="193"/>
      <c r="G9" s="193"/>
      <c r="H9" s="193"/>
      <c r="I9" s="193"/>
      <c r="J9" s="193"/>
      <c r="K9" s="193"/>
      <c r="L9" s="193"/>
      <c r="M9" s="193"/>
      <c r="N9" s="130"/>
    </row>
    <row r="10" spans="1:14" x14ac:dyDescent="0.2">
      <c r="B10" s="192"/>
      <c r="C10" s="193"/>
      <c r="D10" s="193"/>
      <c r="E10" s="193"/>
      <c r="F10" s="193"/>
      <c r="G10" s="193"/>
      <c r="H10" s="193"/>
      <c r="I10" s="193"/>
      <c r="J10" s="193"/>
      <c r="K10" s="193"/>
      <c r="L10" s="193"/>
      <c r="M10" s="193"/>
      <c r="N10" s="130"/>
    </row>
    <row r="11" spans="1:14" x14ac:dyDescent="0.2">
      <c r="B11" s="192"/>
      <c r="C11" s="193"/>
      <c r="D11" s="193"/>
      <c r="E11" s="193"/>
      <c r="F11" s="193"/>
      <c r="G11" s="193"/>
      <c r="H11" s="193"/>
      <c r="I11" s="193"/>
      <c r="J11" s="193"/>
      <c r="K11" s="193"/>
      <c r="L11" s="193"/>
      <c r="M11" s="193"/>
      <c r="N11" s="130"/>
    </row>
    <row r="12" spans="1:14" x14ac:dyDescent="0.2">
      <c r="B12" s="192"/>
      <c r="C12" s="193"/>
      <c r="D12" s="193"/>
      <c r="E12" s="193"/>
      <c r="F12" s="193"/>
      <c r="G12" s="193"/>
      <c r="H12" s="193"/>
      <c r="I12" s="193"/>
      <c r="J12" s="193"/>
      <c r="K12" s="193"/>
      <c r="L12" s="193"/>
      <c r="M12" s="193"/>
      <c r="N12" s="130"/>
    </row>
    <row r="13" spans="1:14" x14ac:dyDescent="0.2">
      <c r="B13" s="192"/>
      <c r="C13" s="193"/>
      <c r="D13" s="193"/>
      <c r="E13" s="193"/>
      <c r="F13" s="193"/>
      <c r="G13" s="193"/>
      <c r="H13" s="193"/>
      <c r="I13" s="193"/>
      <c r="J13" s="193"/>
      <c r="K13" s="193"/>
      <c r="L13" s="193"/>
      <c r="M13" s="193"/>
      <c r="N13" s="130"/>
    </row>
    <row r="14" spans="1:14" x14ac:dyDescent="0.2">
      <c r="B14" s="192"/>
      <c r="C14" s="193"/>
      <c r="D14" s="193"/>
      <c r="E14" s="193"/>
      <c r="F14" s="193"/>
      <c r="G14" s="193"/>
      <c r="H14" s="193"/>
      <c r="I14" s="193"/>
      <c r="J14" s="193"/>
      <c r="K14" s="193"/>
      <c r="L14" s="193"/>
      <c r="M14" s="193"/>
      <c r="N14" s="130"/>
    </row>
    <row r="15" spans="1:14" x14ac:dyDescent="0.2">
      <c r="B15" s="192"/>
      <c r="C15" s="193"/>
      <c r="D15" s="193"/>
      <c r="E15" s="193"/>
      <c r="F15" s="193"/>
      <c r="G15" s="193"/>
      <c r="H15" s="193"/>
      <c r="I15" s="193"/>
      <c r="J15" s="193"/>
      <c r="K15" s="193"/>
      <c r="L15" s="193"/>
      <c r="M15" s="193"/>
      <c r="N15" s="130"/>
    </row>
    <row r="16" spans="1:14" x14ac:dyDescent="0.2">
      <c r="B16" s="192"/>
      <c r="C16" s="193"/>
      <c r="D16" s="193"/>
      <c r="E16" s="193"/>
      <c r="F16" s="193"/>
      <c r="G16" s="193"/>
      <c r="H16" s="193"/>
      <c r="I16" s="193"/>
      <c r="J16" s="193"/>
      <c r="K16" s="193"/>
      <c r="L16" s="193"/>
      <c r="M16" s="193"/>
      <c r="N16" s="130"/>
    </row>
    <row r="17" spans="1:19" x14ac:dyDescent="0.2">
      <c r="B17" s="192"/>
      <c r="C17" s="193"/>
      <c r="D17" s="193"/>
      <c r="E17" s="193"/>
      <c r="F17" s="193"/>
      <c r="G17" s="193"/>
      <c r="H17" s="193"/>
      <c r="I17" s="193"/>
      <c r="J17" s="193"/>
      <c r="K17" s="193"/>
      <c r="L17" s="193"/>
      <c r="M17" s="193"/>
      <c r="N17" s="130"/>
    </row>
    <row r="18" spans="1:19" x14ac:dyDescent="0.2">
      <c r="B18" s="192"/>
      <c r="C18" s="193"/>
      <c r="D18" s="193"/>
      <c r="E18" s="193"/>
      <c r="F18" s="193"/>
      <c r="G18" s="193"/>
      <c r="H18" s="193"/>
      <c r="I18" s="193"/>
      <c r="J18" s="193"/>
      <c r="K18" s="193"/>
      <c r="L18" s="193"/>
      <c r="M18" s="193"/>
      <c r="N18" s="130"/>
    </row>
    <row r="19" spans="1:19" x14ac:dyDescent="0.2">
      <c r="B19" s="192"/>
      <c r="C19" s="193"/>
      <c r="D19" s="193"/>
      <c r="E19" s="193"/>
      <c r="F19" s="193"/>
      <c r="G19" s="193"/>
      <c r="H19" s="193"/>
      <c r="I19" s="193"/>
      <c r="J19" s="193"/>
      <c r="K19" s="193"/>
      <c r="L19" s="193"/>
      <c r="M19" s="193"/>
      <c r="N19" s="130"/>
    </row>
    <row r="20" spans="1:19" ht="18" x14ac:dyDescent="0.2">
      <c r="A20" s="197"/>
      <c r="B20" s="118" t="s">
        <v>15</v>
      </c>
      <c r="C20" s="193"/>
      <c r="D20" s="193"/>
      <c r="E20" s="193"/>
      <c r="F20" s="193"/>
      <c r="G20" s="193"/>
      <c r="H20" s="193"/>
      <c r="I20" s="193"/>
      <c r="J20" s="193"/>
      <c r="K20" s="193"/>
      <c r="L20" s="193"/>
      <c r="M20" s="193"/>
      <c r="N20" s="130"/>
    </row>
    <row r="21" spans="1:19" x14ac:dyDescent="0.2">
      <c r="B21" s="192"/>
      <c r="C21" s="193"/>
      <c r="D21" s="193"/>
      <c r="E21" s="193"/>
      <c r="F21" s="193"/>
      <c r="G21" s="193"/>
      <c r="H21" s="193"/>
      <c r="I21" s="193"/>
      <c r="J21" s="193"/>
      <c r="K21" s="193"/>
      <c r="L21" s="193"/>
      <c r="M21" s="193"/>
      <c r="N21" s="130"/>
    </row>
    <row r="22" spans="1:19" ht="15" x14ac:dyDescent="0.2">
      <c r="B22" s="192"/>
      <c r="C22" s="123" t="s">
        <v>16</v>
      </c>
      <c r="D22" s="193"/>
      <c r="E22" s="193"/>
      <c r="F22" s="193"/>
      <c r="G22" s="193"/>
      <c r="H22" s="193"/>
      <c r="I22" s="193"/>
      <c r="J22" s="193"/>
      <c r="K22" s="193"/>
      <c r="L22" s="193"/>
      <c r="M22" s="193"/>
      <c r="N22" s="130"/>
    </row>
    <row r="23" spans="1:19" x14ac:dyDescent="0.2">
      <c r="B23" s="192"/>
      <c r="C23" s="198"/>
      <c r="D23" s="124" t="s">
        <v>17</v>
      </c>
      <c r="E23" s="193"/>
      <c r="F23" s="193"/>
      <c r="G23" s="193"/>
      <c r="H23" s="193"/>
      <c r="I23" s="193"/>
      <c r="J23" s="193"/>
      <c r="K23" s="193"/>
      <c r="L23" s="193"/>
      <c r="M23" s="193"/>
      <c r="N23" s="130"/>
    </row>
    <row r="24" spans="1:19" x14ac:dyDescent="0.2">
      <c r="B24" s="192"/>
      <c r="C24" s="199"/>
      <c r="D24" s="124" t="s">
        <v>18</v>
      </c>
      <c r="E24" s="193"/>
      <c r="F24" s="193"/>
      <c r="G24" s="193"/>
      <c r="H24" s="193"/>
      <c r="I24" s="193"/>
      <c r="J24" s="193"/>
      <c r="K24" s="193"/>
      <c r="L24" s="193"/>
      <c r="M24" s="193"/>
      <c r="N24" s="130"/>
    </row>
    <row r="25" spans="1:19" x14ac:dyDescent="0.2">
      <c r="B25" s="192"/>
      <c r="C25" s="136"/>
      <c r="D25" s="124" t="s">
        <v>19</v>
      </c>
      <c r="E25" s="193"/>
      <c r="F25" s="193"/>
      <c r="G25" s="193"/>
      <c r="H25" s="193"/>
      <c r="I25" s="193"/>
      <c r="J25" s="193"/>
      <c r="K25" s="193"/>
      <c r="L25" s="193"/>
      <c r="M25" s="193"/>
      <c r="N25" s="130"/>
      <c r="S25" s="200"/>
    </row>
    <row r="26" spans="1:19" x14ac:dyDescent="0.2">
      <c r="B26" s="192"/>
      <c r="C26" s="193"/>
      <c r="D26" s="193"/>
      <c r="E26" s="193"/>
      <c r="F26" s="193"/>
      <c r="G26" s="193"/>
      <c r="H26" s="193"/>
      <c r="I26" s="193"/>
      <c r="J26" s="193"/>
      <c r="K26" s="193"/>
      <c r="L26" s="193"/>
      <c r="M26" s="193"/>
      <c r="N26" s="130"/>
      <c r="S26" s="201"/>
    </row>
    <row r="27" spans="1:19" x14ac:dyDescent="0.2">
      <c r="A27" s="197"/>
      <c r="B27" s="238" t="s">
        <v>20</v>
      </c>
      <c r="C27" s="239"/>
      <c r="D27" s="239"/>
      <c r="E27" s="239"/>
      <c r="F27" s="239"/>
      <c r="G27" s="239"/>
      <c r="H27" s="239"/>
      <c r="I27" s="239"/>
      <c r="J27" s="239"/>
      <c r="K27" s="239"/>
      <c r="L27" s="239"/>
      <c r="M27" s="239"/>
      <c r="N27" s="130"/>
      <c r="S27" s="200"/>
    </row>
    <row r="28" spans="1:19" ht="9.75" customHeight="1" x14ac:dyDescent="0.2">
      <c r="B28" s="192"/>
      <c r="C28" s="193"/>
      <c r="D28" s="193"/>
      <c r="E28" s="193"/>
      <c r="F28" s="193"/>
      <c r="G28" s="193"/>
      <c r="H28" s="193"/>
      <c r="I28" s="193"/>
      <c r="J28" s="193"/>
      <c r="K28" s="193"/>
      <c r="L28" s="193"/>
      <c r="M28" s="193"/>
      <c r="N28" s="130"/>
      <c r="S28" s="200"/>
    </row>
    <row r="29" spans="1:19" x14ac:dyDescent="0.2">
      <c r="B29" s="192"/>
      <c r="C29" s="193"/>
      <c r="D29" s="193"/>
      <c r="E29" s="193"/>
      <c r="F29" s="193"/>
      <c r="G29" s="193"/>
      <c r="H29" s="193"/>
      <c r="I29" s="193"/>
      <c r="J29" s="193"/>
      <c r="K29" s="193"/>
      <c r="L29" s="193"/>
      <c r="M29" s="193"/>
      <c r="N29" s="130"/>
    </row>
    <row r="30" spans="1:19" x14ac:dyDescent="0.2">
      <c r="B30" s="192"/>
      <c r="C30" s="193"/>
      <c r="D30" s="193"/>
      <c r="E30" s="193"/>
      <c r="F30" s="193"/>
      <c r="G30" s="193"/>
      <c r="H30" s="193"/>
      <c r="I30" s="193"/>
      <c r="J30" s="193"/>
      <c r="K30" s="193"/>
      <c r="L30" s="193"/>
      <c r="M30" s="193"/>
      <c r="N30" s="130"/>
    </row>
    <row r="31" spans="1:19" x14ac:dyDescent="0.2">
      <c r="B31" s="192"/>
      <c r="C31" s="193"/>
      <c r="D31" s="193"/>
      <c r="E31" s="193"/>
      <c r="F31" s="193"/>
      <c r="G31" s="193"/>
      <c r="H31" s="193"/>
      <c r="I31" s="193"/>
      <c r="J31" s="193"/>
      <c r="K31" s="193"/>
      <c r="L31" s="193"/>
      <c r="M31" s="193"/>
      <c r="N31" s="130"/>
    </row>
    <row r="32" spans="1:19" x14ac:dyDescent="0.2">
      <c r="B32" s="192"/>
      <c r="C32" s="193"/>
      <c r="D32" s="193"/>
      <c r="E32" s="193"/>
      <c r="F32" s="193"/>
      <c r="G32" s="193"/>
      <c r="H32" s="193"/>
      <c r="I32" s="193"/>
      <c r="J32" s="193"/>
      <c r="K32" s="193"/>
      <c r="L32" s="193"/>
      <c r="M32" s="193"/>
      <c r="N32" s="130"/>
    </row>
    <row r="33" spans="1:14" x14ac:dyDescent="0.2">
      <c r="B33" s="192"/>
      <c r="C33" s="193"/>
      <c r="D33" s="193"/>
      <c r="E33" s="193"/>
      <c r="F33" s="193"/>
      <c r="G33" s="193"/>
      <c r="H33" s="193"/>
      <c r="I33" s="193"/>
      <c r="J33" s="193"/>
      <c r="K33" s="193"/>
      <c r="L33" s="193"/>
      <c r="M33" s="193"/>
      <c r="N33" s="130"/>
    </row>
    <row r="34" spans="1:14" x14ac:dyDescent="0.2">
      <c r="B34" s="192"/>
      <c r="C34" s="193"/>
      <c r="D34" s="193"/>
      <c r="E34" s="193"/>
      <c r="F34" s="193"/>
      <c r="G34" s="193"/>
      <c r="H34" s="193"/>
      <c r="I34" s="193"/>
      <c r="J34" s="193"/>
      <c r="K34" s="193"/>
      <c r="L34" s="193"/>
      <c r="M34" s="193"/>
      <c r="N34" s="130"/>
    </row>
    <row r="35" spans="1:14" x14ac:dyDescent="0.2">
      <c r="B35" s="192"/>
      <c r="C35" s="193"/>
      <c r="D35" s="193"/>
      <c r="E35" s="193"/>
      <c r="F35" s="193"/>
      <c r="G35" s="193"/>
      <c r="H35" s="193"/>
      <c r="I35" s="193"/>
      <c r="J35" s="193"/>
      <c r="K35" s="193"/>
      <c r="L35" s="193"/>
      <c r="M35" s="193"/>
      <c r="N35" s="130"/>
    </row>
    <row r="36" spans="1:14" ht="37.5" customHeight="1" x14ac:dyDescent="0.2">
      <c r="B36" s="192"/>
      <c r="C36" s="193"/>
      <c r="D36" s="193"/>
      <c r="E36" s="193"/>
      <c r="F36" s="193"/>
      <c r="G36" s="193"/>
      <c r="H36" s="193"/>
      <c r="I36" s="193"/>
      <c r="J36" s="193"/>
      <c r="K36" s="193"/>
      <c r="L36" s="193"/>
      <c r="M36" s="193"/>
      <c r="N36" s="130"/>
    </row>
    <row r="37" spans="1:14" ht="31.5" customHeight="1" x14ac:dyDescent="0.2">
      <c r="A37" s="197"/>
      <c r="B37" s="234" t="s">
        <v>21</v>
      </c>
      <c r="C37" s="234"/>
      <c r="D37" s="234"/>
      <c r="E37" s="234"/>
      <c r="F37" s="234"/>
      <c r="G37" s="234"/>
      <c r="H37" s="234"/>
      <c r="I37" s="234"/>
      <c r="J37" s="234"/>
      <c r="K37" s="234"/>
      <c r="L37" s="234"/>
      <c r="M37" s="234"/>
      <c r="N37" s="130"/>
    </row>
    <row r="38" spans="1:14" x14ac:dyDescent="0.2">
      <c r="B38" s="192"/>
      <c r="C38" s="193"/>
      <c r="D38" s="193"/>
      <c r="E38" s="193"/>
      <c r="F38" s="193"/>
      <c r="G38" s="193"/>
      <c r="H38" s="193"/>
      <c r="I38" s="193"/>
      <c r="J38" s="193"/>
      <c r="K38" s="193"/>
      <c r="L38" s="193"/>
      <c r="M38" s="193"/>
      <c r="N38" s="130"/>
    </row>
    <row r="39" spans="1:14" ht="15" x14ac:dyDescent="0.2">
      <c r="B39" s="121" t="s">
        <v>22</v>
      </c>
      <c r="C39" s="193"/>
      <c r="D39" s="193"/>
      <c r="E39" s="193"/>
      <c r="F39" s="193"/>
      <c r="G39" s="193"/>
      <c r="H39" s="193"/>
      <c r="I39" s="193"/>
      <c r="J39" s="193"/>
      <c r="K39" s="193"/>
      <c r="L39" s="193"/>
      <c r="M39" s="193"/>
      <c r="N39" s="130"/>
    </row>
    <row r="40" spans="1:14" ht="75.95" customHeight="1" x14ac:dyDescent="0.2">
      <c r="A40" s="197"/>
      <c r="B40" s="234" t="s">
        <v>23</v>
      </c>
      <c r="C40" s="234"/>
      <c r="D40" s="234"/>
      <c r="E40" s="234"/>
      <c r="F40" s="234"/>
      <c r="G40" s="234"/>
      <c r="H40" s="234"/>
      <c r="I40" s="234"/>
      <c r="J40" s="234"/>
      <c r="K40" s="234"/>
      <c r="L40" s="234"/>
      <c r="M40" s="234"/>
      <c r="N40" s="130"/>
    </row>
    <row r="41" spans="1:14" ht="12.75" customHeight="1" x14ac:dyDescent="0.2">
      <c r="A41" s="197"/>
      <c r="B41" s="193"/>
      <c r="C41" s="193"/>
      <c r="D41" s="193"/>
      <c r="E41" s="193"/>
      <c r="F41" s="193"/>
      <c r="G41" s="193"/>
      <c r="H41" s="193"/>
      <c r="I41" s="193"/>
      <c r="J41" s="193"/>
      <c r="K41" s="193"/>
      <c r="L41" s="193"/>
      <c r="M41" s="193"/>
      <c r="N41" s="130"/>
    </row>
    <row r="42" spans="1:14" ht="18" x14ac:dyDescent="0.2">
      <c r="A42" s="197"/>
      <c r="B42" s="122" t="s">
        <v>24</v>
      </c>
      <c r="C42" s="193"/>
      <c r="D42" s="193"/>
      <c r="E42" s="193"/>
      <c r="F42" s="193"/>
      <c r="G42" s="193"/>
      <c r="H42" s="193"/>
      <c r="I42" s="193"/>
      <c r="J42" s="193"/>
      <c r="K42" s="193"/>
      <c r="L42" s="193"/>
      <c r="M42" s="193"/>
      <c r="N42" s="130"/>
    </row>
    <row r="43" spans="1:14" x14ac:dyDescent="0.2">
      <c r="A43" s="197"/>
      <c r="B43" s="193"/>
      <c r="C43" s="193"/>
      <c r="D43" s="193"/>
      <c r="E43" s="193"/>
      <c r="F43" s="193"/>
      <c r="G43" s="193"/>
      <c r="H43" s="193"/>
      <c r="I43" s="193"/>
      <c r="J43" s="193"/>
      <c r="K43" s="193"/>
      <c r="L43" s="193"/>
      <c r="M43" s="193"/>
      <c r="N43" s="130"/>
    </row>
    <row r="44" spans="1:14" ht="15" x14ac:dyDescent="0.2">
      <c r="A44" s="197"/>
      <c r="B44" s="240" t="s">
        <v>25</v>
      </c>
      <c r="C44" s="241"/>
      <c r="D44" s="241"/>
      <c r="E44" s="241"/>
      <c r="F44" s="241"/>
      <c r="G44" s="241"/>
      <c r="H44" s="241"/>
      <c r="I44" s="241"/>
      <c r="J44" s="241"/>
      <c r="K44" s="241"/>
      <c r="L44" s="241"/>
      <c r="M44" s="241"/>
      <c r="N44" s="130"/>
    </row>
    <row r="45" spans="1:14" ht="9" customHeight="1" x14ac:dyDescent="0.2">
      <c r="A45" s="197"/>
      <c r="B45" s="193"/>
      <c r="C45" s="193"/>
      <c r="D45" s="193"/>
      <c r="E45" s="193"/>
      <c r="F45" s="193"/>
      <c r="G45" s="193"/>
      <c r="H45" s="193"/>
      <c r="I45" s="193"/>
      <c r="J45" s="193"/>
      <c r="K45" s="193"/>
      <c r="L45" s="193"/>
      <c r="M45" s="193"/>
      <c r="N45" s="130"/>
    </row>
    <row r="46" spans="1:14" x14ac:dyDescent="0.2">
      <c r="A46" s="197"/>
      <c r="B46" s="227" t="s">
        <v>26</v>
      </c>
      <c r="C46" s="228"/>
      <c r="D46" s="228"/>
      <c r="E46" s="228"/>
      <c r="F46" s="228"/>
      <c r="G46" s="228"/>
      <c r="H46" s="228"/>
      <c r="I46" s="228"/>
      <c r="J46" s="228"/>
      <c r="K46" s="228"/>
      <c r="L46" s="228"/>
      <c r="M46" s="228"/>
      <c r="N46" s="130"/>
    </row>
    <row r="47" spans="1:14" ht="45" customHeight="1" x14ac:dyDescent="0.2">
      <c r="A47" s="197"/>
      <c r="B47" s="224" t="s">
        <v>27</v>
      </c>
      <c r="C47" s="224"/>
      <c r="D47" s="224"/>
      <c r="E47" s="224"/>
      <c r="F47" s="224"/>
      <c r="G47" s="224"/>
      <c r="H47" s="224"/>
      <c r="I47" s="224"/>
      <c r="J47" s="224"/>
      <c r="K47" s="224"/>
      <c r="L47" s="224"/>
      <c r="M47" s="224"/>
      <c r="N47" s="130"/>
    </row>
    <row r="48" spans="1:14" ht="43.5" customHeight="1" x14ac:dyDescent="0.2">
      <c r="A48" s="197"/>
      <c r="B48" s="224" t="s">
        <v>28</v>
      </c>
      <c r="C48" s="224"/>
      <c r="D48" s="224"/>
      <c r="E48" s="224"/>
      <c r="F48" s="224"/>
      <c r="G48" s="224"/>
      <c r="H48" s="224"/>
      <c r="I48" s="224"/>
      <c r="J48" s="224"/>
      <c r="K48" s="224"/>
      <c r="L48" s="224"/>
      <c r="M48" s="224"/>
      <c r="N48" s="130"/>
    </row>
    <row r="49" spans="1:14" ht="15.75" customHeight="1" x14ac:dyDescent="0.2">
      <c r="A49" s="197"/>
      <c r="B49" s="224" t="s">
        <v>29</v>
      </c>
      <c r="C49" s="224"/>
      <c r="D49" s="224"/>
      <c r="E49" s="224"/>
      <c r="F49" s="224"/>
      <c r="G49" s="224"/>
      <c r="H49" s="224"/>
      <c r="I49" s="224"/>
      <c r="J49" s="224"/>
      <c r="K49" s="224"/>
      <c r="L49" s="224"/>
      <c r="M49" s="224"/>
      <c r="N49" s="130"/>
    </row>
    <row r="50" spans="1:14" ht="90" customHeight="1" x14ac:dyDescent="0.2">
      <c r="A50" s="197"/>
      <c r="B50" s="224" t="s">
        <v>30</v>
      </c>
      <c r="C50" s="224"/>
      <c r="D50" s="224"/>
      <c r="E50" s="224"/>
      <c r="F50" s="224"/>
      <c r="G50" s="224"/>
      <c r="H50" s="224"/>
      <c r="I50" s="224"/>
      <c r="J50" s="224"/>
      <c r="K50" s="224"/>
      <c r="L50" s="224"/>
      <c r="M50" s="224"/>
      <c r="N50" s="130"/>
    </row>
    <row r="51" spans="1:14" ht="33.75" customHeight="1" x14ac:dyDescent="0.2">
      <c r="B51" s="225" t="s">
        <v>31</v>
      </c>
      <c r="C51" s="226"/>
      <c r="D51" s="226"/>
      <c r="E51" s="226"/>
      <c r="F51" s="226"/>
      <c r="G51" s="226"/>
      <c r="H51" s="226"/>
      <c r="I51" s="226"/>
      <c r="J51" s="226"/>
      <c r="K51" s="226"/>
      <c r="L51" s="226"/>
      <c r="M51" s="226"/>
      <c r="N51" s="130"/>
    </row>
    <row r="52" spans="1:14" ht="46.5" customHeight="1" x14ac:dyDescent="0.2">
      <c r="B52" s="222" t="s">
        <v>32</v>
      </c>
      <c r="C52" s="223"/>
      <c r="D52" s="223"/>
      <c r="E52" s="223"/>
      <c r="F52" s="223"/>
      <c r="G52" s="223"/>
      <c r="H52" s="223"/>
      <c r="I52" s="223"/>
      <c r="J52" s="223"/>
      <c r="K52" s="223"/>
      <c r="L52" s="223"/>
      <c r="M52" s="223"/>
      <c r="N52" s="130"/>
    </row>
    <row r="53" spans="1:14" ht="61.5" customHeight="1" x14ac:dyDescent="0.2">
      <c r="B53" s="222" t="s">
        <v>33</v>
      </c>
      <c r="C53" s="223"/>
      <c r="D53" s="223"/>
      <c r="E53" s="223"/>
      <c r="F53" s="223"/>
      <c r="G53" s="223"/>
      <c r="H53" s="223"/>
      <c r="I53" s="223"/>
      <c r="J53" s="223"/>
      <c r="K53" s="223"/>
      <c r="L53" s="223"/>
      <c r="M53" s="223"/>
      <c r="N53" s="130"/>
    </row>
    <row r="54" spans="1:14" x14ac:dyDescent="0.2">
      <c r="B54" s="227" t="s">
        <v>34</v>
      </c>
      <c r="C54" s="228"/>
      <c r="D54" s="228"/>
      <c r="E54" s="228"/>
      <c r="F54" s="228"/>
      <c r="G54" s="228"/>
      <c r="H54" s="228"/>
      <c r="I54" s="228"/>
      <c r="J54" s="228"/>
      <c r="K54" s="228"/>
      <c r="L54" s="228"/>
      <c r="M54" s="228"/>
      <c r="N54" s="130"/>
    </row>
    <row r="55" spans="1:14" x14ac:dyDescent="0.2">
      <c r="B55" s="192"/>
      <c r="C55" s="193"/>
      <c r="D55" s="193"/>
      <c r="E55" s="193"/>
      <c r="F55" s="193"/>
      <c r="G55" s="193"/>
      <c r="H55" s="193"/>
      <c r="I55" s="193"/>
      <c r="J55" s="193"/>
      <c r="K55" s="193"/>
      <c r="L55" s="193"/>
      <c r="M55" s="193"/>
      <c r="N55" s="130"/>
    </row>
    <row r="56" spans="1:14" ht="33" customHeight="1" x14ac:dyDescent="0.2">
      <c r="B56" s="225" t="s">
        <v>35</v>
      </c>
      <c r="C56" s="226"/>
      <c r="D56" s="226"/>
      <c r="E56" s="226"/>
      <c r="F56" s="226"/>
      <c r="G56" s="226"/>
      <c r="H56" s="226"/>
      <c r="I56" s="226"/>
      <c r="J56" s="226"/>
      <c r="K56" s="226"/>
      <c r="L56" s="226"/>
      <c r="M56" s="226"/>
      <c r="N56" s="130"/>
    </row>
    <row r="57" spans="1:14" x14ac:dyDescent="0.2">
      <c r="B57" s="192" t="s">
        <v>36</v>
      </c>
      <c r="C57" s="193"/>
      <c r="D57" s="193"/>
      <c r="E57" s="193"/>
      <c r="F57" s="193"/>
      <c r="G57" s="193"/>
      <c r="H57" s="193"/>
      <c r="I57" s="193"/>
      <c r="J57" s="193"/>
      <c r="K57" s="193"/>
      <c r="L57" s="193"/>
      <c r="M57" s="193"/>
      <c r="N57" s="130"/>
    </row>
    <row r="58" spans="1:14" ht="47.25" customHeight="1" x14ac:dyDescent="0.2">
      <c r="B58" s="222" t="s">
        <v>37</v>
      </c>
      <c r="C58" s="223"/>
      <c r="D58" s="223"/>
      <c r="E58" s="223"/>
      <c r="F58" s="223"/>
      <c r="G58" s="223"/>
      <c r="H58" s="223"/>
      <c r="I58" s="223"/>
      <c r="J58" s="223"/>
      <c r="K58" s="223"/>
      <c r="L58" s="223"/>
      <c r="M58" s="223"/>
      <c r="N58" s="130"/>
    </row>
    <row r="59" spans="1:14" x14ac:dyDescent="0.2">
      <c r="B59" s="192" t="s">
        <v>38</v>
      </c>
      <c r="C59" s="193"/>
      <c r="D59" s="193"/>
      <c r="E59" s="193"/>
      <c r="F59" s="193"/>
      <c r="G59" s="193"/>
      <c r="H59" s="193"/>
      <c r="I59" s="193"/>
      <c r="J59" s="193"/>
      <c r="K59" s="193"/>
      <c r="L59" s="193"/>
      <c r="M59" s="193"/>
      <c r="N59" s="130"/>
    </row>
    <row r="60" spans="1:14" x14ac:dyDescent="0.2">
      <c r="B60" s="192"/>
      <c r="C60" s="193"/>
      <c r="D60" s="193"/>
      <c r="E60" s="193"/>
      <c r="F60" s="193"/>
      <c r="G60" s="193"/>
      <c r="H60" s="193"/>
      <c r="I60" s="193"/>
      <c r="J60" s="193"/>
      <c r="K60" s="193"/>
      <c r="L60" s="193"/>
      <c r="M60" s="193"/>
      <c r="N60" s="130"/>
    </row>
    <row r="61" spans="1:14" ht="33" customHeight="1" x14ac:dyDescent="0.2">
      <c r="B61" s="225" t="s">
        <v>39</v>
      </c>
      <c r="C61" s="226"/>
      <c r="D61" s="226"/>
      <c r="E61" s="226"/>
      <c r="F61" s="226"/>
      <c r="G61" s="226"/>
      <c r="H61" s="226"/>
      <c r="I61" s="226"/>
      <c r="J61" s="226"/>
      <c r="K61" s="226"/>
      <c r="L61" s="226"/>
      <c r="M61" s="226"/>
      <c r="N61" s="130"/>
    </row>
    <row r="62" spans="1:14" x14ac:dyDescent="0.2">
      <c r="B62" s="227" t="s">
        <v>40</v>
      </c>
      <c r="C62" s="228"/>
      <c r="D62" s="228"/>
      <c r="E62" s="228"/>
      <c r="F62" s="228"/>
      <c r="G62" s="228"/>
      <c r="H62" s="228"/>
      <c r="I62" s="228"/>
      <c r="J62" s="228"/>
      <c r="K62" s="228"/>
      <c r="L62" s="228"/>
      <c r="M62" s="228"/>
      <c r="N62" s="130"/>
    </row>
    <row r="63" spans="1:14" x14ac:dyDescent="0.2">
      <c r="B63" s="227" t="s">
        <v>41</v>
      </c>
      <c r="C63" s="228"/>
      <c r="D63" s="228"/>
      <c r="E63" s="228"/>
      <c r="F63" s="228"/>
      <c r="G63" s="228"/>
      <c r="H63" s="228"/>
      <c r="I63" s="228"/>
      <c r="J63" s="228"/>
      <c r="K63" s="228"/>
      <c r="L63" s="228"/>
      <c r="M63" s="228"/>
      <c r="N63" s="130"/>
    </row>
    <row r="64" spans="1:14" ht="32.25" customHeight="1" x14ac:dyDescent="0.2">
      <c r="B64" s="222" t="s">
        <v>42</v>
      </c>
      <c r="C64" s="223"/>
      <c r="D64" s="223"/>
      <c r="E64" s="223"/>
      <c r="F64" s="223"/>
      <c r="G64" s="223"/>
      <c r="H64" s="223"/>
      <c r="I64" s="223"/>
      <c r="J64" s="223"/>
      <c r="K64" s="223"/>
      <c r="L64" s="223"/>
      <c r="M64" s="223"/>
      <c r="N64" s="130"/>
    </row>
    <row r="65" spans="2:14" ht="16.5" customHeight="1" x14ac:dyDescent="0.2">
      <c r="B65" s="190"/>
      <c r="C65" s="191"/>
      <c r="D65" s="191"/>
      <c r="E65" s="191"/>
      <c r="F65" s="191"/>
      <c r="G65" s="191"/>
      <c r="H65" s="191"/>
      <c r="I65" s="191"/>
      <c r="J65" s="191"/>
      <c r="K65" s="191"/>
      <c r="L65" s="191"/>
      <c r="M65" s="191"/>
      <c r="N65" s="130"/>
    </row>
    <row r="66" spans="2:14" ht="15" x14ac:dyDescent="0.2">
      <c r="B66" s="225" t="s">
        <v>43</v>
      </c>
      <c r="C66" s="226"/>
      <c r="D66" s="226"/>
      <c r="E66" s="226"/>
      <c r="F66" s="226"/>
      <c r="G66" s="226"/>
      <c r="H66" s="226"/>
      <c r="I66" s="226"/>
      <c r="J66" s="226"/>
      <c r="K66" s="226"/>
      <c r="L66" s="226"/>
      <c r="M66" s="226"/>
      <c r="N66" s="130"/>
    </row>
    <row r="67" spans="2:14" ht="32.25" customHeight="1" x14ac:dyDescent="0.2">
      <c r="B67" s="190"/>
      <c r="C67" s="191"/>
      <c r="D67" s="191"/>
      <c r="E67" s="191"/>
      <c r="F67" s="191"/>
      <c r="G67" s="191"/>
      <c r="H67" s="191"/>
      <c r="I67" s="191"/>
      <c r="J67" s="191"/>
      <c r="K67" s="191"/>
      <c r="L67" s="191"/>
      <c r="M67" s="191"/>
      <c r="N67" s="130"/>
    </row>
    <row r="68" spans="2:14" ht="32.25" customHeight="1" x14ac:dyDescent="0.2">
      <c r="B68" s="190"/>
      <c r="C68" s="191"/>
      <c r="D68" s="191"/>
      <c r="E68" s="191"/>
      <c r="F68" s="191"/>
      <c r="G68" s="191"/>
      <c r="H68" s="191"/>
      <c r="I68" s="191"/>
      <c r="J68" s="191"/>
      <c r="K68" s="191"/>
      <c r="L68" s="191"/>
      <c r="M68" s="191"/>
      <c r="N68" s="130"/>
    </row>
    <row r="69" spans="2:14" ht="32.25" customHeight="1" x14ac:dyDescent="0.2">
      <c r="B69" s="190"/>
      <c r="C69" s="191"/>
      <c r="D69" s="191"/>
      <c r="E69" s="191"/>
      <c r="F69" s="191"/>
      <c r="G69" s="191"/>
      <c r="H69" s="191"/>
      <c r="I69" s="191"/>
      <c r="J69" s="191"/>
      <c r="K69" s="191"/>
      <c r="L69" s="191"/>
      <c r="M69" s="191"/>
      <c r="N69" s="130"/>
    </row>
    <row r="70" spans="2:14" ht="32.25" customHeight="1" x14ac:dyDescent="0.2">
      <c r="B70" s="190"/>
      <c r="C70" s="191"/>
      <c r="D70" s="191"/>
      <c r="E70" s="191"/>
      <c r="F70" s="191"/>
      <c r="G70" s="191"/>
      <c r="H70" s="191"/>
      <c r="I70" s="191"/>
      <c r="J70" s="191"/>
      <c r="K70" s="191"/>
      <c r="L70" s="191"/>
      <c r="M70" s="191"/>
      <c r="N70" s="130"/>
    </row>
    <row r="71" spans="2:14" ht="32.25" customHeight="1" x14ac:dyDescent="0.2">
      <c r="B71" s="190"/>
      <c r="C71" s="191"/>
      <c r="D71" s="191"/>
      <c r="E71" s="191"/>
      <c r="F71" s="191"/>
      <c r="G71" s="191"/>
      <c r="H71" s="191"/>
      <c r="I71" s="191"/>
      <c r="J71" s="191"/>
      <c r="K71" s="191"/>
      <c r="L71" s="191"/>
      <c r="M71" s="191"/>
      <c r="N71" s="130"/>
    </row>
    <row r="72" spans="2:14" ht="18" x14ac:dyDescent="0.2">
      <c r="B72" s="231" t="s">
        <v>44</v>
      </c>
      <c r="C72" s="232"/>
      <c r="D72" s="232"/>
      <c r="E72" s="232"/>
      <c r="F72" s="232"/>
      <c r="G72" s="232"/>
      <c r="H72" s="232"/>
      <c r="I72" s="232"/>
      <c r="J72" s="232"/>
      <c r="K72" s="232"/>
      <c r="L72" s="232"/>
      <c r="M72" s="232"/>
      <c r="N72" s="130"/>
    </row>
    <row r="73" spans="2:14" x14ac:dyDescent="0.2">
      <c r="B73" s="192"/>
      <c r="C73" s="193"/>
      <c r="D73" s="193"/>
      <c r="E73" s="193"/>
      <c r="F73" s="193"/>
      <c r="G73" s="193"/>
      <c r="H73" s="193"/>
      <c r="I73" s="193"/>
      <c r="J73" s="193"/>
      <c r="K73" s="193"/>
      <c r="L73" s="193"/>
      <c r="M73" s="193"/>
      <c r="N73" s="130"/>
    </row>
    <row r="74" spans="2:14" ht="15" x14ac:dyDescent="0.2">
      <c r="B74" s="225" t="s">
        <v>45</v>
      </c>
      <c r="C74" s="226"/>
      <c r="D74" s="226"/>
      <c r="E74" s="226"/>
      <c r="F74" s="226"/>
      <c r="G74" s="226"/>
      <c r="H74" s="226"/>
      <c r="I74" s="226"/>
      <c r="J74" s="226"/>
      <c r="K74" s="226"/>
      <c r="L74" s="226"/>
      <c r="M74" s="226"/>
      <c r="N74" s="229"/>
    </row>
    <row r="75" spans="2:14" x14ac:dyDescent="0.2">
      <c r="B75" s="192" t="s">
        <v>46</v>
      </c>
      <c r="C75" s="193"/>
      <c r="D75" s="230" t="s">
        <v>47</v>
      </c>
      <c r="E75" s="230"/>
      <c r="F75" s="230"/>
      <c r="G75" s="230"/>
      <c r="H75" s="230"/>
      <c r="I75" s="230"/>
      <c r="J75" s="193"/>
      <c r="K75" s="193"/>
      <c r="L75" s="193"/>
      <c r="M75" s="193"/>
      <c r="N75" s="130"/>
    </row>
    <row r="76" spans="2:14" ht="27.75" customHeight="1" x14ac:dyDescent="0.2">
      <c r="B76" s="222" t="s">
        <v>48</v>
      </c>
      <c r="C76" s="223"/>
      <c r="D76" s="223"/>
      <c r="E76" s="223"/>
      <c r="F76" s="223"/>
      <c r="G76" s="223"/>
      <c r="H76" s="223"/>
      <c r="I76" s="223"/>
      <c r="J76" s="223"/>
      <c r="K76" s="223"/>
      <c r="L76" s="223"/>
      <c r="M76" s="223"/>
      <c r="N76" s="130"/>
    </row>
    <row r="77" spans="2:14" ht="29.25" customHeight="1" x14ac:dyDescent="0.2">
      <c r="B77" s="222" t="s">
        <v>49</v>
      </c>
      <c r="C77" s="223"/>
      <c r="D77" s="223"/>
      <c r="E77" s="223"/>
      <c r="F77" s="223"/>
      <c r="G77" s="223"/>
      <c r="H77" s="223"/>
      <c r="I77" s="223"/>
      <c r="J77" s="223"/>
      <c r="K77" s="223"/>
      <c r="L77" s="223"/>
      <c r="M77" s="223"/>
      <c r="N77" s="130"/>
    </row>
    <row r="78" spans="2:14" x14ac:dyDescent="0.2">
      <c r="B78" s="192" t="s">
        <v>50</v>
      </c>
      <c r="C78" s="193"/>
      <c r="D78" s="193"/>
      <c r="E78" s="193"/>
      <c r="F78" s="193"/>
      <c r="G78" s="193"/>
      <c r="H78" s="193"/>
      <c r="I78" s="193"/>
      <c r="J78" s="193"/>
      <c r="K78" s="193"/>
      <c r="L78" s="193"/>
      <c r="M78" s="193"/>
      <c r="N78" s="130"/>
    </row>
    <row r="79" spans="2:14" x14ac:dyDescent="0.2">
      <c r="B79" s="192"/>
      <c r="C79" s="193"/>
      <c r="D79" s="193"/>
      <c r="E79" s="193"/>
      <c r="F79" s="193"/>
      <c r="G79" s="193"/>
      <c r="H79" s="193"/>
      <c r="I79" s="193"/>
      <c r="J79" s="193"/>
      <c r="K79" s="193"/>
      <c r="L79" s="193"/>
      <c r="M79" s="193"/>
      <c r="N79" s="130"/>
    </row>
    <row r="80" spans="2:14" ht="15" x14ac:dyDescent="0.2">
      <c r="B80" s="225" t="s">
        <v>51</v>
      </c>
      <c r="C80" s="226"/>
      <c r="D80" s="226"/>
      <c r="E80" s="226"/>
      <c r="F80" s="226"/>
      <c r="G80" s="226"/>
      <c r="H80" s="226"/>
      <c r="I80" s="226"/>
      <c r="J80" s="226"/>
      <c r="K80" s="226"/>
      <c r="L80" s="226"/>
      <c r="M80" s="226"/>
      <c r="N80" s="229"/>
    </row>
    <row r="81" spans="2:14" x14ac:dyDescent="0.2">
      <c r="B81" s="192" t="s">
        <v>52</v>
      </c>
      <c r="C81" s="193"/>
      <c r="D81" s="233" t="s">
        <v>53</v>
      </c>
      <c r="E81" s="233"/>
      <c r="F81" s="233"/>
      <c r="G81" s="233"/>
      <c r="H81" s="233"/>
      <c r="I81" s="193"/>
      <c r="J81" s="193"/>
      <c r="K81" s="193"/>
      <c r="L81" s="193"/>
      <c r="M81" s="193"/>
      <c r="N81" s="130"/>
    </row>
    <row r="82" spans="2:14" ht="58.5" customHeight="1" x14ac:dyDescent="0.2">
      <c r="B82" s="222" t="s">
        <v>54</v>
      </c>
      <c r="C82" s="223"/>
      <c r="D82" s="223"/>
      <c r="E82" s="223"/>
      <c r="F82" s="223"/>
      <c r="G82" s="223"/>
      <c r="H82" s="223"/>
      <c r="I82" s="223"/>
      <c r="J82" s="223"/>
      <c r="K82" s="223"/>
      <c r="L82" s="223"/>
      <c r="M82" s="223"/>
      <c r="N82" s="130"/>
    </row>
    <row r="83" spans="2:14" x14ac:dyDescent="0.2">
      <c r="B83" s="192" t="s">
        <v>55</v>
      </c>
      <c r="C83" s="193"/>
      <c r="D83" s="193"/>
      <c r="E83" s="193"/>
      <c r="F83" s="193"/>
      <c r="G83" s="193"/>
      <c r="H83" s="193"/>
      <c r="I83" s="193"/>
      <c r="J83" s="193"/>
      <c r="K83" s="193"/>
      <c r="L83" s="193"/>
      <c r="M83" s="193"/>
      <c r="N83" s="130"/>
    </row>
    <row r="84" spans="2:14" x14ac:dyDescent="0.2">
      <c r="B84" s="192" t="s">
        <v>56</v>
      </c>
      <c r="C84" s="193"/>
      <c r="D84" s="193"/>
      <c r="E84" s="193"/>
      <c r="F84" s="193"/>
      <c r="G84" s="193"/>
      <c r="H84" s="193"/>
      <c r="I84" s="193"/>
      <c r="J84" s="193"/>
      <c r="K84" s="193"/>
      <c r="L84" s="193"/>
      <c r="M84" s="193"/>
      <c r="N84" s="130"/>
    </row>
    <row r="85" spans="2:14" x14ac:dyDescent="0.2">
      <c r="B85" s="192"/>
      <c r="C85" s="193"/>
      <c r="D85" s="193"/>
      <c r="E85" s="193"/>
      <c r="F85" s="193"/>
      <c r="G85" s="193"/>
      <c r="H85" s="193"/>
      <c r="I85" s="193"/>
      <c r="J85" s="193"/>
      <c r="K85" s="193"/>
      <c r="L85" s="193"/>
      <c r="M85" s="193"/>
      <c r="N85" s="130"/>
    </row>
    <row r="86" spans="2:14" ht="31.5" customHeight="1" x14ac:dyDescent="0.2">
      <c r="B86" s="225" t="s">
        <v>57</v>
      </c>
      <c r="C86" s="226"/>
      <c r="D86" s="226"/>
      <c r="E86" s="226"/>
      <c r="F86" s="226"/>
      <c r="G86" s="226"/>
      <c r="H86" s="226"/>
      <c r="I86" s="226"/>
      <c r="J86" s="226"/>
      <c r="K86" s="226"/>
      <c r="L86" s="226"/>
      <c r="M86" s="226"/>
      <c r="N86" s="130"/>
    </row>
    <row r="87" spans="2:14" x14ac:dyDescent="0.2">
      <c r="B87" s="192" t="s">
        <v>52</v>
      </c>
      <c r="C87" s="193"/>
      <c r="D87" s="230" t="s">
        <v>58</v>
      </c>
      <c r="E87" s="230"/>
      <c r="F87" s="230"/>
      <c r="G87" s="230"/>
      <c r="H87" s="230"/>
      <c r="I87" s="193"/>
      <c r="J87" s="193"/>
      <c r="K87" s="193"/>
      <c r="L87" s="193"/>
      <c r="M87" s="193"/>
      <c r="N87" s="130"/>
    </row>
    <row r="88" spans="2:14" x14ac:dyDescent="0.2">
      <c r="B88" s="192" t="s">
        <v>59</v>
      </c>
      <c r="C88" s="193"/>
      <c r="D88" s="193"/>
      <c r="E88" s="193"/>
      <c r="F88" s="193"/>
      <c r="G88" s="193"/>
      <c r="H88" s="193"/>
      <c r="I88" s="193"/>
      <c r="J88" s="193"/>
      <c r="K88" s="193"/>
      <c r="L88" s="193"/>
      <c r="M88" s="193"/>
      <c r="N88" s="130"/>
    </row>
    <row r="89" spans="2:14" ht="28.5" customHeight="1" x14ac:dyDescent="0.2">
      <c r="B89" s="222" t="s">
        <v>60</v>
      </c>
      <c r="C89" s="223"/>
      <c r="D89" s="223"/>
      <c r="E89" s="223"/>
      <c r="F89" s="223"/>
      <c r="G89" s="223"/>
      <c r="H89" s="223"/>
      <c r="I89" s="223"/>
      <c r="J89" s="223"/>
      <c r="K89" s="223"/>
      <c r="L89" s="223"/>
      <c r="M89" s="223"/>
      <c r="N89" s="130"/>
    </row>
    <row r="90" spans="2:14" ht="21" customHeight="1" x14ac:dyDescent="0.2">
      <c r="B90" s="222" t="s">
        <v>61</v>
      </c>
      <c r="C90" s="223"/>
      <c r="D90" s="223"/>
      <c r="E90" s="223"/>
      <c r="F90" s="223"/>
      <c r="G90" s="223"/>
      <c r="H90" s="223"/>
      <c r="I90" s="223"/>
      <c r="J90" s="223"/>
      <c r="K90" s="223"/>
      <c r="L90" s="223"/>
      <c r="M90" s="223"/>
      <c r="N90" s="130"/>
    </row>
    <row r="91" spans="2:14" ht="30.95" customHeight="1" x14ac:dyDescent="0.2">
      <c r="B91" s="222" t="s">
        <v>62</v>
      </c>
      <c r="C91" s="223"/>
      <c r="D91" s="223"/>
      <c r="E91" s="223"/>
      <c r="F91" s="223"/>
      <c r="G91" s="223"/>
      <c r="H91" s="223"/>
      <c r="I91" s="223"/>
      <c r="J91" s="223"/>
      <c r="K91" s="223"/>
      <c r="L91" s="223"/>
      <c r="M91" s="223"/>
      <c r="N91" s="130"/>
    </row>
    <row r="92" spans="2:14" x14ac:dyDescent="0.2">
      <c r="B92" s="192"/>
      <c r="C92" s="193"/>
      <c r="D92" s="193"/>
      <c r="E92" s="193"/>
      <c r="F92" s="193"/>
      <c r="G92" s="193"/>
      <c r="H92" s="193"/>
      <c r="I92" s="193"/>
      <c r="J92" s="193"/>
      <c r="K92" s="193"/>
      <c r="L92" s="193"/>
      <c r="M92" s="193"/>
      <c r="N92" s="130"/>
    </row>
    <row r="93" spans="2:14" ht="15" x14ac:dyDescent="0.2">
      <c r="B93" s="225" t="s">
        <v>63</v>
      </c>
      <c r="C93" s="226"/>
      <c r="D93" s="226"/>
      <c r="E93" s="226"/>
      <c r="F93" s="226"/>
      <c r="G93" s="226"/>
      <c r="H93" s="226"/>
      <c r="I93" s="226"/>
      <c r="J93" s="226"/>
      <c r="K93" s="226"/>
      <c r="L93" s="226"/>
      <c r="M93" s="226"/>
      <c r="N93" s="229"/>
    </row>
    <row r="94" spans="2:14" x14ac:dyDescent="0.2">
      <c r="B94" s="192" t="s">
        <v>64</v>
      </c>
      <c r="C94" s="193"/>
      <c r="D94" s="230" t="s">
        <v>65</v>
      </c>
      <c r="E94" s="230"/>
      <c r="F94" s="230"/>
      <c r="G94" s="230"/>
      <c r="H94" s="230"/>
      <c r="I94" s="230"/>
      <c r="J94" s="230"/>
      <c r="K94" s="193"/>
      <c r="L94" s="193"/>
      <c r="M94" s="193"/>
      <c r="N94" s="130"/>
    </row>
    <row r="95" spans="2:14" x14ac:dyDescent="0.2">
      <c r="B95" s="227" t="s">
        <v>66</v>
      </c>
      <c r="C95" s="228"/>
      <c r="D95" s="228"/>
      <c r="E95" s="228"/>
      <c r="F95" s="228"/>
      <c r="G95" s="228"/>
      <c r="H95" s="228"/>
      <c r="I95" s="228"/>
      <c r="J95" s="228"/>
      <c r="K95" s="228"/>
      <c r="L95" s="228"/>
      <c r="M95" s="228"/>
      <c r="N95" s="130"/>
    </row>
    <row r="96" spans="2:14" ht="16.5" customHeight="1" x14ac:dyDescent="0.2">
      <c r="B96" s="222" t="s">
        <v>67</v>
      </c>
      <c r="C96" s="223"/>
      <c r="D96" s="223"/>
      <c r="E96" s="223"/>
      <c r="F96" s="223"/>
      <c r="G96" s="223"/>
      <c r="H96" s="223"/>
      <c r="I96" s="223"/>
      <c r="J96" s="223"/>
      <c r="K96" s="223"/>
      <c r="L96" s="223"/>
      <c r="M96" s="223"/>
      <c r="N96" s="130"/>
    </row>
    <row r="97" spans="2:14" x14ac:dyDescent="0.2">
      <c r="B97" s="227" t="s">
        <v>68</v>
      </c>
      <c r="C97" s="228"/>
      <c r="D97" s="228"/>
      <c r="E97" s="228"/>
      <c r="F97" s="228"/>
      <c r="G97" s="228"/>
      <c r="H97" s="228"/>
      <c r="I97" s="228"/>
      <c r="J97" s="228"/>
      <c r="K97" s="228"/>
      <c r="L97" s="228"/>
      <c r="M97" s="228"/>
      <c r="N97" s="130"/>
    </row>
    <row r="98" spans="2:14" ht="15" thickBot="1" x14ac:dyDescent="0.25">
      <c r="B98" s="119"/>
      <c r="C98" s="120"/>
      <c r="D98" s="120"/>
      <c r="E98" s="120"/>
      <c r="F98" s="120"/>
      <c r="G98" s="120"/>
      <c r="H98" s="120"/>
      <c r="I98" s="120"/>
      <c r="J98" s="120"/>
      <c r="K98" s="120"/>
      <c r="L98" s="120"/>
      <c r="M98" s="120"/>
      <c r="N98" s="130"/>
    </row>
    <row r="99" spans="2:14" ht="15" thickTop="1" x14ac:dyDescent="0.2">
      <c r="B99" s="135"/>
      <c r="C99" s="136"/>
      <c r="D99" s="136"/>
      <c r="E99" s="136"/>
      <c r="F99" s="136"/>
      <c r="G99" s="136"/>
      <c r="H99" s="136"/>
      <c r="I99" s="136"/>
      <c r="J99" s="136"/>
      <c r="K99" s="136"/>
      <c r="L99" s="136"/>
      <c r="M99" s="136"/>
      <c r="N99" s="202"/>
    </row>
    <row r="100" spans="2:14" x14ac:dyDescent="0.2">
      <c r="B100" s="136"/>
      <c r="C100" s="136"/>
      <c r="D100" s="136"/>
      <c r="E100" s="136"/>
      <c r="F100" s="136"/>
      <c r="G100" s="136"/>
      <c r="H100" s="136"/>
      <c r="I100" s="136"/>
      <c r="J100" s="136"/>
      <c r="K100" s="136"/>
      <c r="L100" s="136"/>
      <c r="M100" s="136"/>
    </row>
    <row r="101" spans="2:14" x14ac:dyDescent="0.2">
      <c r="B101" s="136"/>
      <c r="C101" s="136"/>
      <c r="D101" s="136"/>
      <c r="E101" s="136"/>
      <c r="F101" s="136"/>
      <c r="G101" s="136"/>
      <c r="H101" s="136"/>
      <c r="I101" s="136"/>
      <c r="J101" s="136"/>
      <c r="K101" s="136"/>
      <c r="L101" s="136"/>
      <c r="M101" s="136"/>
    </row>
    <row r="102" spans="2:14" x14ac:dyDescent="0.2">
      <c r="B102" s="136"/>
      <c r="C102" s="136"/>
      <c r="D102" s="136"/>
      <c r="E102" s="136"/>
      <c r="F102" s="136"/>
      <c r="G102" s="136"/>
      <c r="H102" s="136"/>
      <c r="I102" s="136"/>
      <c r="J102" s="136"/>
      <c r="K102" s="136"/>
      <c r="L102" s="136"/>
      <c r="M102" s="136"/>
    </row>
    <row r="103" spans="2:14" x14ac:dyDescent="0.2">
      <c r="B103" s="136"/>
      <c r="C103" s="136"/>
      <c r="D103" s="136"/>
      <c r="E103" s="136"/>
      <c r="F103" s="136"/>
      <c r="G103" s="136"/>
      <c r="H103" s="136"/>
      <c r="I103" s="136"/>
      <c r="J103" s="136"/>
      <c r="K103" s="136"/>
      <c r="L103" s="136"/>
      <c r="M103" s="136"/>
    </row>
    <row r="104" spans="2:14" x14ac:dyDescent="0.2">
      <c r="B104" s="136"/>
      <c r="C104" s="136"/>
      <c r="D104" s="136"/>
      <c r="E104" s="136"/>
      <c r="F104" s="136"/>
      <c r="G104" s="136"/>
      <c r="H104" s="136"/>
      <c r="I104" s="136"/>
      <c r="J104" s="136"/>
      <c r="K104" s="136"/>
      <c r="L104" s="136"/>
      <c r="M104" s="136"/>
    </row>
    <row r="105" spans="2:14" x14ac:dyDescent="0.2">
      <c r="B105" s="136"/>
      <c r="C105" s="136"/>
      <c r="D105" s="136"/>
      <c r="E105" s="136"/>
      <c r="F105" s="136"/>
      <c r="G105" s="136"/>
      <c r="H105" s="136"/>
      <c r="I105" s="136"/>
      <c r="J105" s="136"/>
      <c r="K105" s="136"/>
      <c r="L105" s="136"/>
      <c r="M105" s="136"/>
    </row>
    <row r="106" spans="2:14" x14ac:dyDescent="0.2">
      <c r="B106" s="136"/>
      <c r="C106" s="136"/>
      <c r="D106" s="136"/>
      <c r="E106" s="136"/>
      <c r="F106" s="136"/>
      <c r="G106" s="136"/>
      <c r="H106" s="136"/>
      <c r="I106" s="136"/>
      <c r="J106" s="136"/>
      <c r="K106" s="136"/>
      <c r="L106" s="136"/>
      <c r="M106" s="136"/>
    </row>
    <row r="107" spans="2:14" x14ac:dyDescent="0.2">
      <c r="B107" s="136"/>
      <c r="C107" s="136"/>
      <c r="D107" s="136"/>
      <c r="E107" s="136"/>
      <c r="F107" s="136"/>
      <c r="G107" s="136"/>
      <c r="H107" s="136"/>
      <c r="I107" s="136"/>
      <c r="J107" s="136"/>
      <c r="K107" s="136"/>
      <c r="L107" s="136"/>
      <c r="M107" s="136"/>
    </row>
    <row r="108" spans="2:14" x14ac:dyDescent="0.2">
      <c r="B108" s="136"/>
      <c r="C108" s="136"/>
      <c r="D108" s="136"/>
      <c r="E108" s="136"/>
      <c r="F108" s="136"/>
      <c r="G108" s="136"/>
      <c r="H108" s="136"/>
      <c r="I108" s="136"/>
      <c r="J108" s="136"/>
      <c r="K108" s="136"/>
      <c r="L108" s="136"/>
      <c r="M108" s="136"/>
    </row>
    <row r="109" spans="2:14" x14ac:dyDescent="0.2">
      <c r="B109" s="136"/>
      <c r="C109" s="136"/>
      <c r="D109" s="136"/>
      <c r="E109" s="136"/>
      <c r="F109" s="136"/>
      <c r="G109" s="136"/>
      <c r="H109" s="136"/>
      <c r="I109" s="136"/>
      <c r="J109" s="136"/>
      <c r="K109" s="136"/>
      <c r="L109" s="136"/>
      <c r="M109" s="136"/>
    </row>
    <row r="110" spans="2:14" x14ac:dyDescent="0.2">
      <c r="B110" s="136"/>
      <c r="C110" s="136"/>
      <c r="D110" s="136"/>
      <c r="E110" s="136"/>
      <c r="F110" s="136"/>
      <c r="G110" s="136"/>
      <c r="H110" s="136"/>
      <c r="I110" s="136"/>
      <c r="J110" s="136"/>
      <c r="K110" s="136"/>
      <c r="L110" s="136"/>
      <c r="M110" s="136"/>
    </row>
    <row r="111" spans="2:14" x14ac:dyDescent="0.2">
      <c r="B111" s="136"/>
      <c r="C111" s="136"/>
      <c r="D111" s="136"/>
      <c r="E111" s="136"/>
      <c r="F111" s="136"/>
      <c r="G111" s="136"/>
      <c r="H111" s="136"/>
      <c r="I111" s="136"/>
      <c r="J111" s="136"/>
      <c r="K111" s="136"/>
      <c r="L111" s="136"/>
      <c r="M111" s="136"/>
    </row>
    <row r="112" spans="2:14" x14ac:dyDescent="0.2">
      <c r="B112" s="136"/>
      <c r="C112" s="136"/>
      <c r="D112" s="136"/>
      <c r="E112" s="136"/>
      <c r="F112" s="136"/>
      <c r="G112" s="136"/>
      <c r="H112" s="136"/>
      <c r="I112" s="136"/>
      <c r="J112" s="136"/>
      <c r="K112" s="136"/>
      <c r="L112" s="136"/>
      <c r="M112" s="136"/>
    </row>
    <row r="113" spans="2:13" x14ac:dyDescent="0.2">
      <c r="B113" s="136"/>
      <c r="C113" s="136"/>
      <c r="D113" s="136"/>
      <c r="E113" s="136"/>
      <c r="F113" s="136"/>
      <c r="G113" s="136"/>
      <c r="H113" s="136"/>
      <c r="I113" s="136"/>
      <c r="J113" s="136"/>
      <c r="K113" s="136"/>
      <c r="L113" s="136"/>
      <c r="M113" s="136"/>
    </row>
    <row r="114" spans="2:13" x14ac:dyDescent="0.2">
      <c r="B114" s="136"/>
      <c r="C114" s="136"/>
      <c r="D114" s="136"/>
      <c r="E114" s="136"/>
      <c r="F114" s="136"/>
      <c r="G114" s="136"/>
      <c r="H114" s="136"/>
      <c r="I114" s="136"/>
      <c r="J114" s="136"/>
      <c r="K114" s="136"/>
      <c r="L114" s="136"/>
      <c r="M114" s="136"/>
    </row>
    <row r="115" spans="2:13" x14ac:dyDescent="0.2">
      <c r="B115" s="136"/>
      <c r="C115" s="136"/>
      <c r="D115" s="136"/>
      <c r="E115" s="136"/>
      <c r="F115" s="136"/>
      <c r="G115" s="136"/>
      <c r="H115" s="136"/>
      <c r="I115" s="136"/>
      <c r="J115" s="136"/>
      <c r="K115" s="136"/>
      <c r="L115" s="136"/>
      <c r="M115" s="136"/>
    </row>
    <row r="116" spans="2:13" x14ac:dyDescent="0.2">
      <c r="B116" s="136"/>
      <c r="C116" s="136"/>
      <c r="D116" s="136"/>
      <c r="E116" s="136"/>
      <c r="F116" s="136"/>
      <c r="G116" s="136"/>
      <c r="H116" s="136"/>
      <c r="I116" s="136"/>
      <c r="J116" s="136"/>
      <c r="K116" s="136"/>
      <c r="L116" s="136"/>
      <c r="M116" s="136"/>
    </row>
    <row r="117" spans="2:13" x14ac:dyDescent="0.2">
      <c r="B117" s="136"/>
      <c r="C117" s="136"/>
      <c r="D117" s="136"/>
      <c r="E117" s="136"/>
      <c r="F117" s="136"/>
      <c r="G117" s="136"/>
      <c r="H117" s="136"/>
      <c r="I117" s="136"/>
      <c r="J117" s="136"/>
      <c r="K117" s="136"/>
      <c r="L117" s="136"/>
      <c r="M117" s="136"/>
    </row>
    <row r="118" spans="2:13" x14ac:dyDescent="0.2">
      <c r="B118" s="136"/>
      <c r="C118" s="136"/>
      <c r="D118" s="136"/>
      <c r="E118" s="136"/>
      <c r="F118" s="136"/>
      <c r="G118" s="136"/>
      <c r="H118" s="136"/>
      <c r="I118" s="136"/>
      <c r="J118" s="136"/>
      <c r="K118" s="136"/>
      <c r="L118" s="136"/>
      <c r="M118" s="136"/>
    </row>
    <row r="119" spans="2:13" x14ac:dyDescent="0.2">
      <c r="B119" s="136"/>
      <c r="C119" s="136"/>
      <c r="D119" s="136"/>
      <c r="E119" s="136"/>
      <c r="F119" s="136"/>
      <c r="G119" s="136"/>
      <c r="H119" s="136"/>
      <c r="I119" s="136"/>
      <c r="J119" s="136"/>
      <c r="K119" s="136"/>
      <c r="L119" s="136"/>
      <c r="M119" s="136"/>
    </row>
    <row r="120" spans="2:13" x14ac:dyDescent="0.2">
      <c r="B120" s="136"/>
      <c r="C120" s="136"/>
      <c r="D120" s="136"/>
      <c r="E120" s="136"/>
      <c r="F120" s="136"/>
      <c r="G120" s="136"/>
      <c r="H120" s="136"/>
      <c r="I120" s="136"/>
      <c r="J120" s="136"/>
      <c r="K120" s="136"/>
      <c r="L120" s="136"/>
      <c r="M120" s="136"/>
    </row>
    <row r="121" spans="2:13" x14ac:dyDescent="0.2">
      <c r="B121" s="136"/>
      <c r="C121" s="136"/>
      <c r="D121" s="136"/>
      <c r="E121" s="136"/>
      <c r="F121" s="136"/>
      <c r="G121" s="136"/>
      <c r="H121" s="136"/>
      <c r="I121" s="136"/>
      <c r="J121" s="136"/>
      <c r="K121" s="136"/>
      <c r="L121" s="136"/>
      <c r="M121" s="136"/>
    </row>
    <row r="122" spans="2:13" x14ac:dyDescent="0.2">
      <c r="B122" s="136"/>
      <c r="C122" s="136"/>
      <c r="D122" s="136"/>
      <c r="E122" s="136"/>
      <c r="F122" s="136"/>
      <c r="G122" s="136"/>
      <c r="H122" s="136"/>
      <c r="I122" s="136"/>
      <c r="J122" s="136"/>
      <c r="K122" s="136"/>
      <c r="L122" s="136"/>
      <c r="M122" s="136"/>
    </row>
    <row r="123" spans="2:13" x14ac:dyDescent="0.2">
      <c r="B123" s="136"/>
      <c r="C123" s="136"/>
      <c r="D123" s="136"/>
      <c r="E123" s="136"/>
      <c r="F123" s="136"/>
      <c r="G123" s="136"/>
      <c r="H123" s="136"/>
      <c r="I123" s="136"/>
      <c r="J123" s="136"/>
      <c r="K123" s="136"/>
      <c r="L123" s="136"/>
      <c r="M123" s="136"/>
    </row>
    <row r="124" spans="2:13" x14ac:dyDescent="0.2">
      <c r="B124" s="136"/>
      <c r="C124" s="136"/>
      <c r="D124" s="136"/>
      <c r="E124" s="136"/>
      <c r="F124" s="136"/>
      <c r="G124" s="136"/>
      <c r="H124" s="136"/>
      <c r="I124" s="136"/>
      <c r="J124" s="136"/>
      <c r="K124" s="136"/>
      <c r="L124" s="136"/>
      <c r="M124" s="136"/>
    </row>
    <row r="125" spans="2:13" x14ac:dyDescent="0.2">
      <c r="B125" s="136"/>
      <c r="C125" s="136"/>
      <c r="D125" s="136"/>
      <c r="E125" s="136"/>
      <c r="F125" s="136"/>
      <c r="G125" s="136"/>
      <c r="H125" s="136"/>
      <c r="I125" s="136"/>
      <c r="J125" s="136"/>
      <c r="K125" s="136"/>
      <c r="L125" s="136"/>
      <c r="M125" s="136"/>
    </row>
    <row r="126" spans="2:13" x14ac:dyDescent="0.2">
      <c r="B126" s="136"/>
      <c r="C126" s="136"/>
      <c r="D126" s="136"/>
      <c r="E126" s="136"/>
      <c r="F126" s="136"/>
      <c r="G126" s="136"/>
      <c r="H126" s="136"/>
      <c r="I126" s="136"/>
      <c r="J126" s="136"/>
      <c r="K126" s="136"/>
      <c r="L126" s="136"/>
      <c r="M126" s="136"/>
    </row>
    <row r="127" spans="2:13" x14ac:dyDescent="0.2">
      <c r="B127" s="136"/>
      <c r="C127" s="136"/>
      <c r="D127" s="136"/>
      <c r="E127" s="136"/>
      <c r="F127" s="136"/>
      <c r="G127" s="136"/>
      <c r="H127" s="136"/>
      <c r="I127" s="136"/>
      <c r="J127" s="136"/>
      <c r="K127" s="136"/>
      <c r="L127" s="136"/>
      <c r="M127" s="136"/>
    </row>
    <row r="128" spans="2:13" x14ac:dyDescent="0.2">
      <c r="B128" s="136"/>
      <c r="C128" s="136"/>
      <c r="D128" s="136"/>
      <c r="E128" s="136"/>
      <c r="F128" s="136"/>
      <c r="G128" s="136"/>
      <c r="H128" s="136"/>
      <c r="I128" s="136"/>
      <c r="J128" s="136"/>
      <c r="K128" s="136"/>
      <c r="L128" s="136"/>
      <c r="M128" s="136"/>
    </row>
    <row r="129" spans="2:13" x14ac:dyDescent="0.2">
      <c r="B129" s="136"/>
      <c r="C129" s="136"/>
      <c r="D129" s="136"/>
      <c r="E129" s="136"/>
      <c r="F129" s="136"/>
      <c r="G129" s="136"/>
      <c r="H129" s="136"/>
      <c r="I129" s="136"/>
      <c r="J129" s="136"/>
      <c r="K129" s="136"/>
      <c r="L129" s="136"/>
      <c r="M129" s="136"/>
    </row>
    <row r="130" spans="2:13" x14ac:dyDescent="0.2">
      <c r="B130" s="136"/>
      <c r="C130" s="136"/>
      <c r="D130" s="136"/>
      <c r="E130" s="136"/>
      <c r="F130" s="136"/>
      <c r="G130" s="136"/>
      <c r="H130" s="136"/>
      <c r="I130" s="136"/>
      <c r="J130" s="136"/>
      <c r="K130" s="136"/>
      <c r="L130" s="136"/>
      <c r="M130" s="136"/>
    </row>
    <row r="131" spans="2:13" x14ac:dyDescent="0.2">
      <c r="B131" s="136"/>
      <c r="C131" s="136"/>
      <c r="D131" s="136"/>
      <c r="E131" s="136"/>
      <c r="F131" s="136"/>
      <c r="G131" s="136"/>
      <c r="H131" s="136"/>
      <c r="I131" s="136"/>
      <c r="J131" s="136"/>
      <c r="K131" s="136"/>
      <c r="L131" s="136"/>
      <c r="M131" s="136"/>
    </row>
    <row r="132" spans="2:13" x14ac:dyDescent="0.2">
      <c r="B132" s="136"/>
      <c r="C132" s="136"/>
      <c r="D132" s="136"/>
      <c r="E132" s="136"/>
      <c r="F132" s="136"/>
      <c r="G132" s="136"/>
      <c r="H132" s="136"/>
      <c r="I132" s="136"/>
      <c r="J132" s="136"/>
      <c r="K132" s="136"/>
      <c r="L132" s="136"/>
      <c r="M132" s="136"/>
    </row>
    <row r="133" spans="2:13" x14ac:dyDescent="0.2">
      <c r="B133" s="136"/>
      <c r="C133" s="136"/>
      <c r="D133" s="136"/>
      <c r="E133" s="136"/>
      <c r="F133" s="136"/>
      <c r="G133" s="136"/>
      <c r="H133" s="136"/>
      <c r="I133" s="136"/>
      <c r="J133" s="136"/>
      <c r="K133" s="136"/>
      <c r="L133" s="136"/>
      <c r="M133" s="136"/>
    </row>
  </sheetData>
  <sheetProtection algorithmName="SHA-512" hashValue="4alYN5IqChfUnt7MqZ2LVU+RJPxxRPMm3zO1rDcyQwxcIEcF3CJoi50hmeG7uJh2a/0eK7utDJ9mMy1Dv11hlw==" saltValue="V5MHYVObmcN6b/vejvIizQ==" spinCount="100000" sheet="1" objects="1" scenarios="1"/>
  <mergeCells count="40">
    <mergeCell ref="B37:M37"/>
    <mergeCell ref="B40:M40"/>
    <mergeCell ref="B56:M56"/>
    <mergeCell ref="B3:N5"/>
    <mergeCell ref="B7:M7"/>
    <mergeCell ref="B27:M27"/>
    <mergeCell ref="B44:M44"/>
    <mergeCell ref="B46:M46"/>
    <mergeCell ref="B89:M89"/>
    <mergeCell ref="B86:M86"/>
    <mergeCell ref="B51:M51"/>
    <mergeCell ref="B52:M52"/>
    <mergeCell ref="B53:M53"/>
    <mergeCell ref="B54:M54"/>
    <mergeCell ref="B58:M58"/>
    <mergeCell ref="B62:M62"/>
    <mergeCell ref="B63:M63"/>
    <mergeCell ref="B72:M72"/>
    <mergeCell ref="B80:N80"/>
    <mergeCell ref="B74:N74"/>
    <mergeCell ref="D75:I75"/>
    <mergeCell ref="D81:H81"/>
    <mergeCell ref="D87:H87"/>
    <mergeCell ref="B82:M82"/>
    <mergeCell ref="B97:M97"/>
    <mergeCell ref="B96:M96"/>
    <mergeCell ref="B95:M95"/>
    <mergeCell ref="B91:M91"/>
    <mergeCell ref="B90:M90"/>
    <mergeCell ref="B93:N93"/>
    <mergeCell ref="D94:J94"/>
    <mergeCell ref="B76:M76"/>
    <mergeCell ref="B77:M77"/>
    <mergeCell ref="B47:M47"/>
    <mergeCell ref="B48:M48"/>
    <mergeCell ref="B49:M49"/>
    <mergeCell ref="B50:M50"/>
    <mergeCell ref="B66:M66"/>
    <mergeCell ref="B61:M61"/>
    <mergeCell ref="B64:M64"/>
  </mergeCells>
  <hyperlinks>
    <hyperlink ref="D75" r:id="rId1" xr:uid="{29617B0C-6638-4DA5-983E-6AE74AFB2173}"/>
    <hyperlink ref="D81" r:id="rId2" location="." xr:uid="{6D62559A-BC37-45DC-9AA3-1B3A989742E5}"/>
    <hyperlink ref="D87" r:id="rId3" xr:uid="{D8D1447B-9ECE-4098-9FFE-64269B9ED85C}"/>
    <hyperlink ref="D94" r:id="rId4" xr:uid="{7BA0D859-90C9-47FC-B4F0-9A8B07E4BD3F}"/>
  </hyperlinks>
  <pageMargins left="0.7" right="0.7" top="0.75" bottom="0.75" header="0.3" footer="0.3"/>
  <pageSetup paperSize="9" orientation="portrait" verticalDpi="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heetViews>
  <sheetFormatPr defaultColWidth="9.140625" defaultRowHeight="15" x14ac:dyDescent="0.25"/>
  <cols>
    <col min="1" max="1" width="9.140625" style="133"/>
    <col min="2" max="2" width="3.7109375" style="133" customWidth="1"/>
    <col min="3" max="3" width="30.5703125" style="133" customWidth="1"/>
    <col min="4" max="4" width="11.28515625" style="133" bestFit="1" customWidth="1"/>
    <col min="5" max="10" width="9.140625" style="133"/>
    <col min="11" max="11" width="10.28515625" style="133" customWidth="1"/>
    <col min="12" max="12" width="4.140625" style="133" customWidth="1"/>
    <col min="13" max="16384" width="9.140625" style="133"/>
  </cols>
  <sheetData>
    <row r="2" spans="2:13" ht="15.75" thickBot="1" x14ac:dyDescent="0.3"/>
    <row r="3" spans="2:13" ht="15.75" customHeight="1" thickTop="1" x14ac:dyDescent="0.25">
      <c r="B3" s="208" t="s">
        <v>69</v>
      </c>
      <c r="C3" s="209"/>
      <c r="D3" s="209"/>
      <c r="E3" s="209"/>
      <c r="F3" s="209"/>
      <c r="G3" s="209"/>
      <c r="H3" s="209"/>
      <c r="I3" s="209"/>
      <c r="J3" s="209"/>
      <c r="K3" s="209"/>
      <c r="L3" s="210"/>
    </row>
    <row r="4" spans="2:13" ht="15" customHeight="1" x14ac:dyDescent="0.25">
      <c r="B4" s="211"/>
      <c r="C4" s="212"/>
      <c r="D4" s="212"/>
      <c r="E4" s="212"/>
      <c r="F4" s="212"/>
      <c r="G4" s="212"/>
      <c r="H4" s="212"/>
      <c r="I4" s="212"/>
      <c r="J4" s="212"/>
      <c r="K4" s="212"/>
      <c r="L4" s="213"/>
    </row>
    <row r="5" spans="2:13" ht="15" customHeight="1" x14ac:dyDescent="0.25">
      <c r="B5" s="211"/>
      <c r="C5" s="212"/>
      <c r="D5" s="212"/>
      <c r="E5" s="212"/>
      <c r="F5" s="212"/>
      <c r="G5" s="212"/>
      <c r="H5" s="212"/>
      <c r="I5" s="212"/>
      <c r="J5" s="212"/>
      <c r="K5" s="212"/>
      <c r="L5" s="213"/>
    </row>
    <row r="6" spans="2:13" ht="21" customHeight="1" x14ac:dyDescent="0.25">
      <c r="B6" s="128"/>
      <c r="C6" s="141"/>
      <c r="D6" s="141"/>
      <c r="E6" s="141"/>
      <c r="F6" s="141"/>
      <c r="G6" s="141"/>
      <c r="H6" s="141"/>
      <c r="I6" s="141"/>
      <c r="J6" s="141"/>
      <c r="K6" s="141"/>
      <c r="L6" s="117"/>
    </row>
    <row r="7" spans="2:13" ht="18" thickBot="1" x14ac:dyDescent="0.3">
      <c r="B7" s="128"/>
      <c r="C7" s="68" t="s">
        <v>70</v>
      </c>
      <c r="D7" s="242"/>
      <c r="E7" s="242"/>
      <c r="F7" s="242"/>
      <c r="G7" s="242"/>
      <c r="H7" s="242"/>
      <c r="I7" s="242"/>
      <c r="J7" s="242"/>
      <c r="K7" s="242"/>
      <c r="L7" s="143"/>
      <c r="M7" s="138"/>
    </row>
    <row r="8" spans="2:13" ht="35.25" customHeight="1" thickBot="1" x14ac:dyDescent="0.3">
      <c r="B8" s="128"/>
      <c r="C8" s="53" t="s">
        <v>71</v>
      </c>
      <c r="D8" s="243"/>
      <c r="E8" s="243"/>
      <c r="F8" s="243"/>
      <c r="G8" s="243"/>
      <c r="H8" s="243"/>
      <c r="I8" s="243"/>
      <c r="J8" s="243"/>
      <c r="K8" s="243"/>
      <c r="L8" s="142"/>
    </row>
    <row r="9" spans="2:13" ht="39.75" customHeight="1" thickBot="1" x14ac:dyDescent="0.3">
      <c r="B9" s="128"/>
      <c r="C9" s="146" t="s">
        <v>72</v>
      </c>
      <c r="D9" s="243"/>
      <c r="E9" s="243"/>
      <c r="F9" s="243"/>
      <c r="G9" s="243"/>
      <c r="H9" s="243"/>
      <c r="I9" s="243"/>
      <c r="J9" s="243"/>
      <c r="K9" s="243"/>
      <c r="L9" s="144"/>
    </row>
    <row r="10" spans="2:13" ht="97.5" customHeight="1" x14ac:dyDescent="0.25">
      <c r="B10" s="128"/>
      <c r="C10" s="147" t="s">
        <v>73</v>
      </c>
      <c r="D10" s="244"/>
      <c r="E10" s="244"/>
      <c r="F10" s="244"/>
      <c r="G10" s="244"/>
      <c r="H10" s="244"/>
      <c r="I10" s="244"/>
      <c r="J10" s="244"/>
      <c r="K10" s="244"/>
      <c r="L10" s="144"/>
    </row>
    <row r="11" spans="2:13" ht="18.75" customHeight="1" thickBot="1" x14ac:dyDescent="0.3">
      <c r="B11" s="145"/>
      <c r="C11" s="131"/>
      <c r="D11" s="131"/>
      <c r="E11" s="131"/>
      <c r="F11" s="131"/>
      <c r="G11" s="131"/>
      <c r="H11" s="131"/>
      <c r="I11" s="131"/>
      <c r="J11" s="131"/>
      <c r="K11" s="131"/>
      <c r="L11" s="132"/>
    </row>
    <row r="12" spans="2:13" ht="15.75" thickTop="1" x14ac:dyDescent="0.25"/>
  </sheetData>
  <sheetProtection algorithmName="SHA-512" hashValue="3No8wtGlzc8KxNF6rV3zAl9BS4mwEqyB+iU+FgoEGDTrGHlASGvvt6O1MF+J2MVpVBPBdQLhwM/P3ee45Du9cg==" saltValue="NStZiIQJ8mMYJf6GTUenxA=="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GridLines="0" showRowColHeaders="0" topLeftCell="A6" zoomScaleNormal="100" workbookViewId="0">
      <selection activeCell="D13" sqref="D13"/>
    </sheetView>
  </sheetViews>
  <sheetFormatPr defaultColWidth="9.140625" defaultRowHeight="15" x14ac:dyDescent="0.25"/>
  <cols>
    <col min="1" max="1" width="9.28515625" style="153" customWidth="1"/>
    <col min="2" max="2" width="4.85546875" style="153" customWidth="1"/>
    <col min="3" max="3" width="33.28515625" style="153" customWidth="1"/>
    <col min="4" max="4" width="26.85546875" style="153" customWidth="1"/>
    <col min="5" max="5" width="11.42578125" style="153" customWidth="1"/>
    <col min="6" max="6" width="17.42578125" style="153" customWidth="1"/>
    <col min="7" max="7" width="33.28515625" style="153" customWidth="1"/>
    <col min="8" max="8" width="14.140625" style="153" customWidth="1"/>
    <col min="9" max="9" width="9" style="153" customWidth="1"/>
    <col min="10" max="10" width="2" style="153" customWidth="1"/>
    <col min="11" max="11" width="7.140625" style="153" customWidth="1"/>
    <col min="12" max="16384" width="9.140625" style="153"/>
  </cols>
  <sheetData>
    <row r="3" spans="1:12" x14ac:dyDescent="0.25">
      <c r="A3" s="157"/>
      <c r="B3" s="245" t="s">
        <v>74</v>
      </c>
      <c r="C3" s="246"/>
      <c r="D3" s="246"/>
      <c r="E3" s="246"/>
      <c r="F3" s="246"/>
      <c r="G3" s="246"/>
      <c r="H3" s="246"/>
      <c r="I3" s="246"/>
      <c r="J3" s="247"/>
    </row>
    <row r="4" spans="1:12" x14ac:dyDescent="0.25">
      <c r="A4" s="157"/>
      <c r="B4" s="245"/>
      <c r="C4" s="246"/>
      <c r="D4" s="246"/>
      <c r="E4" s="246"/>
      <c r="F4" s="246"/>
      <c r="G4" s="246"/>
      <c r="H4" s="246"/>
      <c r="I4" s="246"/>
      <c r="J4" s="247"/>
    </row>
    <row r="5" spans="1:12" x14ac:dyDescent="0.25">
      <c r="A5" s="157"/>
      <c r="B5" s="245"/>
      <c r="C5" s="246"/>
      <c r="D5" s="246"/>
      <c r="E5" s="246"/>
      <c r="F5" s="246"/>
      <c r="G5" s="246"/>
      <c r="H5" s="246"/>
      <c r="I5" s="246"/>
      <c r="J5" s="247"/>
    </row>
    <row r="6" spans="1:12" ht="17.25" x14ac:dyDescent="0.25">
      <c r="A6" s="157"/>
      <c r="B6" s="1"/>
      <c r="C6" s="1"/>
      <c r="D6" s="1"/>
      <c r="E6" s="1"/>
      <c r="F6" s="1"/>
      <c r="G6" s="1"/>
      <c r="H6" s="1"/>
      <c r="I6" s="1"/>
      <c r="J6" s="117"/>
      <c r="L6" s="154"/>
    </row>
    <row r="7" spans="1:12" ht="18" customHeight="1" x14ac:dyDescent="0.35">
      <c r="A7" s="157"/>
      <c r="B7" s="1"/>
      <c r="C7" s="250" t="s">
        <v>75</v>
      </c>
      <c r="D7" s="250"/>
      <c r="E7" s="1"/>
      <c r="F7" s="1"/>
      <c r="G7" s="4"/>
      <c r="H7" s="5"/>
      <c r="I7" s="5"/>
      <c r="J7" s="148"/>
      <c r="L7" s="155"/>
    </row>
    <row r="8" spans="1:12" ht="12" customHeight="1" x14ac:dyDescent="0.35">
      <c r="A8" s="157"/>
      <c r="B8" s="1"/>
      <c r="C8" s="1"/>
      <c r="D8" s="1"/>
      <c r="E8" s="1"/>
      <c r="F8" s="1"/>
      <c r="G8" s="3"/>
      <c r="H8" s="3"/>
      <c r="I8" s="3"/>
      <c r="J8" s="149"/>
      <c r="L8" s="155"/>
    </row>
    <row r="9" spans="1:12" ht="22.5" customHeight="1" thickBot="1" x14ac:dyDescent="0.4">
      <c r="A9" s="157"/>
      <c r="B9" s="1"/>
      <c r="C9" s="66" t="s">
        <v>76</v>
      </c>
      <c r="D9" s="105"/>
      <c r="E9" s="1"/>
      <c r="F9" s="1"/>
      <c r="G9" s="1"/>
      <c r="H9" s="77"/>
      <c r="I9" s="3"/>
      <c r="J9" s="149"/>
      <c r="L9" s="155"/>
    </row>
    <row r="10" spans="1:12" ht="21" customHeight="1" thickBot="1" x14ac:dyDescent="0.4">
      <c r="A10" s="157"/>
      <c r="B10" s="1"/>
      <c r="C10" s="65" t="s">
        <v>77</v>
      </c>
      <c r="D10" s="106">
        <v>2.4</v>
      </c>
      <c r="E10" s="6"/>
      <c r="F10" s="6"/>
      <c r="G10" s="249" t="str">
        <f>IFERROR(IF(AND($D$9&lt;DATE(2025,1,1),OR((VLOOKUP($D$13,Lookups!$C$8:$G$17,2,FALSE))&gt;(VLOOKUP($D$13,Lookups!$C$8:$G$17,4,FALSE)),(VLOOKUP($D$13,Lookups!$C$8:$G$17,3,FALSE))&gt;(VLOOKUP($D$13,Lookups!$C$8:$G$17,5,FALSE)))),"A nutrient permit is changing for the selected WwTW as of 01/01/2025. Therefore, two nutrient budgets will be calculated for the loading before and after the 2025 WwTW permit upgrade.",""),"")</f>
        <v/>
      </c>
      <c r="H10" s="77"/>
      <c r="I10" s="3"/>
      <c r="J10" s="149"/>
      <c r="K10" s="154"/>
      <c r="L10" s="156"/>
    </row>
    <row r="11" spans="1:12" ht="30.75" customHeight="1" thickBot="1" x14ac:dyDescent="0.3">
      <c r="A11" s="157"/>
      <c r="B11" s="1"/>
      <c r="C11" s="65" t="s">
        <v>78</v>
      </c>
      <c r="D11" s="107">
        <v>120</v>
      </c>
      <c r="E11" s="7"/>
      <c r="F11" s="7"/>
      <c r="G11" s="249"/>
      <c r="H11" s="77"/>
      <c r="I11" s="7"/>
      <c r="J11" s="142"/>
      <c r="K11" s="155"/>
      <c r="L11" s="156"/>
    </row>
    <row r="12" spans="1:12" ht="36" customHeight="1" thickBot="1" x14ac:dyDescent="0.3">
      <c r="A12" s="157"/>
      <c r="B12" s="1"/>
      <c r="C12" s="65" t="s">
        <v>79</v>
      </c>
      <c r="D12" s="108"/>
      <c r="E12" s="8"/>
      <c r="F12" s="8"/>
      <c r="G12" s="249"/>
      <c r="H12" s="77"/>
      <c r="I12" s="8"/>
      <c r="J12" s="144"/>
      <c r="K12" s="156"/>
    </row>
    <row r="13" spans="1:12" ht="50.25" customHeight="1" thickBot="1" x14ac:dyDescent="0.3">
      <c r="A13" s="157"/>
      <c r="B13" s="1"/>
      <c r="C13" s="67" t="s">
        <v>80</v>
      </c>
      <c r="D13" s="109"/>
      <c r="E13" s="8"/>
      <c r="F13" s="1"/>
      <c r="G13" s="249"/>
      <c r="H13" s="77"/>
      <c r="I13" s="8"/>
      <c r="J13" s="144"/>
      <c r="K13" s="156"/>
    </row>
    <row r="14" spans="1:12" ht="50.25" hidden="1" customHeight="1" thickBot="1" x14ac:dyDescent="0.3">
      <c r="A14" s="157"/>
      <c r="B14" s="1"/>
      <c r="C14" s="15" t="s">
        <v>81</v>
      </c>
      <c r="D14" s="75" t="str">
        <f>(IFERROR(IF(OR(D13="Package Treatment Plant user defined",D13="Septic Tank user defined"),"Please enter value in cell to the right:",IF('Stage 1'!D9&lt;DATE(2025,1,1),VLOOKUP('Stage 1'!D13,Lookups!C8:G20,2,FALSE),VLOOKUP('Stage 1'!D13,Lookups!C8:G19,4,FALSE))),""))</f>
        <v/>
      </c>
      <c r="E14" s="110"/>
      <c r="F14" s="78" t="str">
        <f>IFERROR(IF(AND($D$9&lt;DATE(2025,1,1),(VLOOKUP($D$13,Lookups!$C$8:$G$17,2,FALSE))&gt;(VLOOKUP($D$13,Lookups!$C$8:$G$17,4,FALSE))), "Post 2025 WwTW P permit:",""),"")</f>
        <v/>
      </c>
      <c r="G14" s="80" t="str">
        <f>IFERROR(IF(AND($D$9&lt;DATE(2025,1,1),(VLOOKUP($D$13,Lookups!$C$8:$G$17,2,FALSE))&gt;(VLOOKUP($D$13,Lookups!$C$8:$G$17,4,FALSE))), VLOOKUP('Stage 1'!D13,Lookups!C8:G20,4,FALSE),""),"")</f>
        <v/>
      </c>
      <c r="H14" s="26" t="str">
        <f>IFERROR(IF(AND($D$9&lt;DATE(2025,1,1),(VLOOKUP($D$13,Lookups!$C$8:$G$17,2,FALSE))&gt;(VLOOKUP($D$13,Lookups!$C$8:$G$17,4,FALSE))), "mg TP/litre",""),"")</f>
        <v/>
      </c>
      <c r="I14" s="8"/>
      <c r="J14" s="117"/>
      <c r="K14" s="156"/>
    </row>
    <row r="15" spans="1:12" ht="50.25" customHeight="1" x14ac:dyDescent="0.25">
      <c r="A15" s="157"/>
      <c r="B15" s="1"/>
      <c r="C15" s="64" t="s">
        <v>82</v>
      </c>
      <c r="D15" s="76" t="str">
        <f>IFERROR(IF(OR(D13="Package Treatment Plant user defined",D13="Septic Tank user defined"),"Please enter value in cell to the right:",IF('Stage 1'!D9&lt;DATE(2025,1,1),VLOOKUP('Stage 1'!D13,Lookups!C8:G20, 3,FALSE), VLOOKUP('Stage 1'!D13,Lookups!C8:G19, 5,FALSE))),"")</f>
        <v/>
      </c>
      <c r="E15" s="110"/>
      <c r="F15" s="79" t="str">
        <f>IFERROR(IF(AND($D$9&lt;DATE(2025,1,1),(VLOOKUP($D$13,Lookups!$C$8:$G$17,3,FALSE))&gt;(VLOOKUP($D$13,Lookups!$C$8:$G$17,5,FALSE))), "Post 2025 WwTW N permit:",""),"")</f>
        <v/>
      </c>
      <c r="G15" s="80" t="str">
        <f>IFERROR(IF(AND($D$9&lt;DATE(2025,1,1),(VLOOKUP($D$13,Lookups!$C$8:$G$17,3,FALSE))&gt;(VLOOKUP($D$13,Lookups!$C$8:$G$17,5,FALSE))), VLOOKUP('Stage 1'!D13,Lookups!$C$8:$G$20,5,FALSE),""),"")</f>
        <v/>
      </c>
      <c r="H15" s="26" t="str">
        <f>IFERROR(IF(AND($D$9&lt;DATE(2025,1,1),(VLOOKUP($D$13,Lookups!$C$8:$G$17,3,FALSE))&gt;(VLOOKUP($D$13,Lookups!$C$8:$G$17,5,FALSE))), "mg TN/litre",""),"")</f>
        <v/>
      </c>
      <c r="I15" s="8"/>
      <c r="J15" s="144"/>
      <c r="K15" s="156"/>
    </row>
    <row r="16" spans="1:12" ht="18" customHeight="1" x14ac:dyDescent="0.25">
      <c r="A16" s="157"/>
      <c r="B16" s="1"/>
      <c r="C16" s="1"/>
      <c r="D16" s="1"/>
      <c r="E16" s="1"/>
      <c r="F16" s="1"/>
      <c r="G16" s="1"/>
      <c r="H16" s="1"/>
      <c r="I16" s="1"/>
      <c r="J16" s="117"/>
    </row>
    <row r="17" spans="1:14" ht="18" x14ac:dyDescent="0.25">
      <c r="A17" s="157"/>
      <c r="B17" s="1"/>
      <c r="C17" s="250" t="s">
        <v>83</v>
      </c>
      <c r="D17" s="250"/>
      <c r="E17" s="1"/>
      <c r="F17" s="1"/>
      <c r="G17" s="1"/>
      <c r="H17" s="1"/>
      <c r="I17" s="1"/>
      <c r="J17" s="117"/>
    </row>
    <row r="18" spans="1:14" x14ac:dyDescent="0.25">
      <c r="A18" s="157"/>
      <c r="B18" s="1"/>
      <c r="C18" s="1"/>
      <c r="D18" s="1"/>
      <c r="E18" s="1"/>
      <c r="F18" s="1"/>
      <c r="G18" s="1"/>
      <c r="H18" s="1"/>
      <c r="I18" s="1"/>
      <c r="J18" s="150"/>
    </row>
    <row r="19" spans="1:14" ht="3.75" customHeight="1" x14ac:dyDescent="0.25">
      <c r="A19" s="157"/>
      <c r="B19" s="1"/>
      <c r="C19" s="1"/>
      <c r="D19" s="1"/>
      <c r="E19" s="1"/>
      <c r="F19" s="1"/>
      <c r="G19" s="1"/>
      <c r="H19" s="1"/>
      <c r="I19" s="1"/>
      <c r="J19" s="150"/>
      <c r="N19" s="153" t="s">
        <v>84</v>
      </c>
    </row>
    <row r="20" spans="1:14" ht="17.25" x14ac:dyDescent="0.3">
      <c r="A20" s="157"/>
      <c r="B20" s="1"/>
      <c r="C20" s="248" t="str">
        <f>IFERROR(IF(AND($D$9&lt;DATE(2025,1,1),OR((VLOOKUP($D$13,Lookups!$C$8:$G$17,2,FALSE))&gt;(VLOOKUP($D$13,Lookups!$C$8:$G$17,4,FALSE)),(VLOOKUP($D$13,Lookups!$C$8:$G$17,3,FALSE))&gt;(VLOOKUP($D$13,Lookups!$C$8:$G$17,5,FALSE)))),"Post-2025 Stage 1 Nutrient Loading","Stage 1 Nutrient Loading"),"")</f>
        <v/>
      </c>
      <c r="D20" s="248"/>
      <c r="E20" s="1"/>
      <c r="F20" s="1"/>
      <c r="G20" s="248" t="str">
        <f>IFERROR(IF(AND($D$9&lt;DATE(2025,1,1),OR((VLOOKUP($D$13,Lookups!$C$8:$G$17,2,FALSE))&gt;(VLOOKUP($D$13,Lookups!$C$8:$G$17,4,FALSE)),(VLOOKUP($D$13,Lookups!$C$8:$G$17,3,FALSE))&gt;(VLOOKUP($D$13,Lookups!$C$8:$G$17,5,FALSE)))),"Pre-2025 Stage 1 Nutrient Loading",""),"")</f>
        <v/>
      </c>
      <c r="H20" s="248"/>
      <c r="I20" s="1"/>
      <c r="J20" s="117"/>
    </row>
    <row r="21" spans="1:14" x14ac:dyDescent="0.25">
      <c r="A21" s="157"/>
      <c r="B21" s="1"/>
      <c r="C21" s="1"/>
      <c r="D21" s="1"/>
      <c r="E21" s="1"/>
      <c r="F21" s="1"/>
      <c r="G21" s="1"/>
      <c r="H21" s="1"/>
      <c r="I21" s="1"/>
      <c r="J21" s="150"/>
    </row>
    <row r="22" spans="1:14" ht="17.25" thickBot="1" x14ac:dyDescent="0.35">
      <c r="A22" s="157"/>
      <c r="B22" s="1"/>
      <c r="C22" s="55" t="s">
        <v>85</v>
      </c>
      <c r="D22" s="56" t="str">
        <f>IF(ISBLANK(D12),"",D10*D12)</f>
        <v/>
      </c>
      <c r="E22" s="28" t="s">
        <v>86</v>
      </c>
      <c r="F22" s="1"/>
      <c r="G22" s="19" t="str">
        <f>IFERROR(IF(AND($D$9&lt;DATE(2025,1,1),OR((VLOOKUP($D$13,Lookups!$C$8:$G$17,2,FALSE))&gt;(VLOOKUP($D$13,Lookups!$C$8:$G$17,4,FALSE)),(VLOOKUP($D$13,Lookups!$C$8:$G$17,3,FALSE))&gt;(VLOOKUP($D$13,Lookups!$C$8:$G$17,5,FALSE)))),"Annual wastewater TN load:",""),"")</f>
        <v/>
      </c>
      <c r="H22" s="21" t="str">
        <f>IFERROR(IF(AND($D$9&lt;DATE(2025,1,1),OR((VLOOKUP($D$13,Lookups!$C$8:$G$17,2,FALSE))&gt;(VLOOKUP($D$13,Lookups!$C$8:$G$17,4,FALSE)),(VLOOKUP($D$13,Lookups!$C$8:$G$17,3,FALSE))&gt;(VLOOKUP($D$13,Lookups!$C$8:$G$17,5,FALSE)))),IF(D15=27,(D15*D$23)/1000000*365.25,(D15*D$23*0.9)/1000000*365.25),""),"")</f>
        <v/>
      </c>
      <c r="I22" s="28" t="str">
        <f>IFERROR(IF(AND($D$9&lt;DATE(2025,1,1),OR((VLOOKUP($D$13,Lookups!$C$8:$G$17,2,FALSE))&gt;(VLOOKUP($D$13,Lookups!$C$8:$G$17,4,FALSE)),(VLOOKUP($D$13,Lookups!$C$8:$G$17,3,FALSE))&gt;(VLOOKUP($D$13,Lookups!$C$8:$G$17,5,FALSE)))),"kg TN/yr",""),"")</f>
        <v/>
      </c>
      <c r="J22" s="151"/>
    </row>
    <row r="23" spans="1:14" x14ac:dyDescent="0.25">
      <c r="A23" s="157"/>
      <c r="B23" s="1"/>
      <c r="C23" s="27" t="s">
        <v>87</v>
      </c>
      <c r="D23" s="54" t="str">
        <f>IFERROR(D22*D11,"")</f>
        <v/>
      </c>
      <c r="E23" s="28" t="s">
        <v>88</v>
      </c>
      <c r="F23" s="1"/>
      <c r="G23" s="184"/>
      <c r="H23" s="184"/>
      <c r="I23" s="184"/>
      <c r="J23" s="117"/>
    </row>
    <row r="24" spans="1:14" hidden="1" x14ac:dyDescent="0.25">
      <c r="A24" s="157"/>
      <c r="B24" s="1"/>
      <c r="C24" s="1"/>
      <c r="D24" s="1"/>
      <c r="E24" s="81"/>
      <c r="F24" s="1"/>
      <c r="G24" s="1"/>
      <c r="H24" s="1"/>
      <c r="I24" s="81"/>
      <c r="J24" s="117"/>
    </row>
    <row r="25" spans="1:14" hidden="1" x14ac:dyDescent="0.25">
      <c r="A25" s="157"/>
      <c r="B25" s="1"/>
      <c r="C25" s="1"/>
      <c r="D25" s="1"/>
      <c r="E25" s="81"/>
      <c r="F25" s="1"/>
      <c r="G25" s="84"/>
      <c r="H25" s="84"/>
      <c r="I25" s="85"/>
      <c r="J25" s="152"/>
    </row>
    <row r="26" spans="1:14" ht="15.75" hidden="1" thickBot="1" x14ac:dyDescent="0.3">
      <c r="A26" s="157"/>
      <c r="B26" s="1"/>
      <c r="C26" s="55" t="s">
        <v>89</v>
      </c>
      <c r="D26" s="56" t="str">
        <f>IFERROR(IF(ISNUMBER(G14),G14*D23*0.9,IF(D14="Please enter value in cell to the right:",IF(AND(D14="Please enter value in cell to the right:",ISNUMBER(E14)),D23*E14, VLOOKUP((LEFT(D13,(LEN(D13)-13))&amp;" default"),Lookups!$C$8:$E$17,2,FALSE)*D23),IF(OR(D13="Package Treatment Plant default",D13="Septic Tank default"),D14*D23,IF(D14=8,D14*D23,D14*D23*0.9)))),"")</f>
        <v/>
      </c>
      <c r="E26" s="28" t="s">
        <v>90</v>
      </c>
      <c r="F26" s="1"/>
      <c r="G26" s="86"/>
      <c r="H26" s="84"/>
      <c r="I26" s="84"/>
      <c r="J26" s="152"/>
    </row>
    <row r="27" spans="1:14" ht="15.75" hidden="1" thickBot="1" x14ac:dyDescent="0.3">
      <c r="A27" s="157"/>
      <c r="B27" s="1"/>
      <c r="C27" s="27" t="s">
        <v>91</v>
      </c>
      <c r="D27" s="54" t="str">
        <f>IFERROR($D$26/1000000,"")</f>
        <v/>
      </c>
      <c r="E27" s="28" t="s">
        <v>92</v>
      </c>
      <c r="F27" s="1"/>
      <c r="G27" s="86"/>
      <c r="H27" s="90"/>
      <c r="I27" s="87"/>
      <c r="J27" s="152"/>
    </row>
    <row r="28" spans="1:14" ht="15.75" hidden="1" thickBot="1" x14ac:dyDescent="0.3">
      <c r="A28" s="157"/>
      <c r="B28" s="1"/>
      <c r="C28" s="57" t="s">
        <v>93</v>
      </c>
      <c r="D28" s="59" t="str">
        <f>IFERROR($D$27*365.25,"")</f>
        <v/>
      </c>
      <c r="E28" s="28" t="s">
        <v>94</v>
      </c>
      <c r="F28" s="1"/>
      <c r="G28" s="86"/>
      <c r="H28" s="91"/>
      <c r="I28" s="87"/>
      <c r="J28" s="152"/>
    </row>
    <row r="29" spans="1:14" hidden="1" x14ac:dyDescent="0.25">
      <c r="A29" s="157"/>
      <c r="B29" s="1"/>
      <c r="C29" s="58" t="s">
        <v>95</v>
      </c>
      <c r="D29" s="60" t="str">
        <f>D28</f>
        <v/>
      </c>
      <c r="E29" s="82" t="s">
        <v>94</v>
      </c>
      <c r="F29" s="1"/>
      <c r="G29" s="88"/>
      <c r="H29" s="92"/>
      <c r="I29" s="89"/>
      <c r="J29" s="152"/>
    </row>
    <row r="30" spans="1:14" hidden="1" x14ac:dyDescent="0.25">
      <c r="A30" s="157"/>
      <c r="B30" s="1"/>
      <c r="C30" s="1"/>
      <c r="D30" s="1"/>
      <c r="E30" s="81"/>
      <c r="F30" s="1"/>
      <c r="G30" s="84"/>
      <c r="H30" s="84"/>
      <c r="I30" s="85"/>
      <c r="J30" s="152"/>
    </row>
    <row r="31" spans="1:14" hidden="1" x14ac:dyDescent="0.25">
      <c r="A31" s="157"/>
      <c r="B31" s="1"/>
      <c r="C31" s="1"/>
      <c r="D31" s="1"/>
      <c r="E31" s="81"/>
      <c r="F31" s="1"/>
      <c r="G31" s="84"/>
      <c r="H31" s="84"/>
      <c r="I31" s="85"/>
      <c r="J31" s="152"/>
    </row>
    <row r="32" spans="1:14" ht="15.75" hidden="1" thickBot="1" x14ac:dyDescent="0.3">
      <c r="A32" s="157"/>
      <c r="B32" s="1"/>
      <c r="C32" s="27" t="s">
        <v>96</v>
      </c>
      <c r="D32" s="54" t="str">
        <f>IFERROR(IF(ISNUMBER(G15),G15*D23*0.9,IF(D15="Please enter value in cell to the right:",IF(AND(D15="Please enter value in cell to the right:",ISNUMBER(E15)),D23*E15, VLOOKUP((LEFT(D13,(LEN(D13)-13))&amp;" default"),Lookups!C36:E37,3,FALSE)*D23),IF(OR(D13="Package Treatment Plant default",D13="Septic Tank default"),D15*D23,IF(D15=27,D15*D23,D15*D23*0.9)))),"")</f>
        <v/>
      </c>
      <c r="E32" s="28" t="s">
        <v>97</v>
      </c>
      <c r="F32" s="1"/>
      <c r="G32" s="86"/>
      <c r="H32" s="90"/>
      <c r="I32" s="87"/>
      <c r="J32" s="152"/>
    </row>
    <row r="33" spans="1:10" ht="15.75" hidden="1" thickBot="1" x14ac:dyDescent="0.3">
      <c r="A33" s="157"/>
      <c r="B33" s="1"/>
      <c r="C33" s="61" t="s">
        <v>98</v>
      </c>
      <c r="D33" s="62" t="str">
        <f>IFERROR($D$32/1000000,"")</f>
        <v/>
      </c>
      <c r="E33" s="28" t="s">
        <v>99</v>
      </c>
      <c r="F33" s="1"/>
      <c r="G33" s="86"/>
      <c r="H33" s="90"/>
      <c r="I33" s="87"/>
      <c r="J33" s="152"/>
    </row>
    <row r="34" spans="1:10" ht="15.75" hidden="1" thickBot="1" x14ac:dyDescent="0.3">
      <c r="A34" s="157"/>
      <c r="B34" s="1"/>
      <c r="C34" s="61" t="s">
        <v>100</v>
      </c>
      <c r="D34" s="63" t="str">
        <f>IFERROR($D$33*365.25,"")</f>
        <v/>
      </c>
      <c r="E34" s="28" t="s">
        <v>101</v>
      </c>
      <c r="F34" s="1"/>
      <c r="G34" s="86"/>
      <c r="H34" s="91"/>
      <c r="I34" s="87"/>
      <c r="J34" s="152"/>
    </row>
    <row r="35" spans="1:10" x14ac:dyDescent="0.25">
      <c r="A35" s="157"/>
      <c r="B35" s="1"/>
      <c r="C35" s="19" t="s">
        <v>102</v>
      </c>
      <c r="D35" s="20" t="str">
        <f>D34</f>
        <v/>
      </c>
      <c r="E35" s="82" t="s">
        <v>101</v>
      </c>
      <c r="F35" s="1"/>
      <c r="G35" s="88"/>
      <c r="H35" s="92"/>
      <c r="I35" s="89"/>
      <c r="J35" s="152"/>
    </row>
    <row r="36" spans="1:10" ht="15.75" thickBot="1" x14ac:dyDescent="0.3">
      <c r="A36" s="157"/>
      <c r="B36" s="145"/>
      <c r="C36" s="131"/>
      <c r="D36" s="131"/>
      <c r="E36" s="131"/>
      <c r="F36" s="131"/>
      <c r="G36" s="131"/>
      <c r="H36" s="131"/>
      <c r="I36" s="131"/>
      <c r="J36" s="132"/>
    </row>
    <row r="37" spans="1:10" ht="15.75" thickTop="1" x14ac:dyDescent="0.25"/>
  </sheetData>
  <sheetProtection algorithmName="SHA-512" hashValue="hav0PyxjOb9Yqwsert2BGWATP9KE/CYho50INoWPwLyq5OYpvGaGFKOejUvBJe9Jya+fuTuqQd0h/WLaFO8CyQ==" saltValue="8OIR+eVuJxD8bE/al4B9PA=="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8" priority="10">
      <formula>OR(ISNUMBER($D$15),ISBLANK($D$13))</formula>
    </cfRule>
    <cfRule type="expression" dxfId="7" priority="11">
      <formula>($D$15="Please enter value in cell to the right:")</formula>
    </cfRule>
  </conditionalFormatting>
  <conditionalFormatting sqref="G14">
    <cfRule type="expression" dxfId="6" priority="5">
      <formula>ISNUMBER($G$14)</formula>
    </cfRule>
  </conditionalFormatting>
  <conditionalFormatting sqref="G10 H9:H15">
    <cfRule type="expression" dxfId="5" priority="12">
      <formula>_xlfn.ISFORMULA($G$10)</formula>
    </cfRule>
    <cfRule type="expression" dxfId="4" priority="13">
      <formula>ISTEXT($G$10)</formula>
    </cfRule>
  </conditionalFormatting>
  <conditionalFormatting sqref="G15">
    <cfRule type="expression" dxfId="3" priority="4">
      <formula>ISNUMBER($G$15)</formula>
    </cfRule>
  </conditionalFormatting>
  <conditionalFormatting sqref="H22">
    <cfRule type="expression" dxfId="2" priority="1">
      <formula>ISNUMBER(H22)</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Lookups!$C$8:$C$19</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GridLines="0" showRowColHeaders="0" zoomScaleNormal="100" workbookViewId="0">
      <selection activeCell="C15" sqref="C15"/>
    </sheetView>
  </sheetViews>
  <sheetFormatPr defaultColWidth="9.140625" defaultRowHeight="15" x14ac:dyDescent="0.25"/>
  <cols>
    <col min="1" max="1" width="9.140625" style="133"/>
    <col min="2" max="2" width="4.7109375" style="133" customWidth="1"/>
    <col min="3" max="3" width="32.140625" style="133" customWidth="1"/>
    <col min="4" max="4" width="8.42578125" style="133" bestFit="1" customWidth="1"/>
    <col min="5" max="5" width="21.140625" style="133" customWidth="1"/>
    <col min="6" max="6" width="17.7109375" style="133" hidden="1" customWidth="1"/>
    <col min="7" max="7" width="4" style="133" customWidth="1"/>
    <col min="8" max="8" width="8.140625" style="133" customWidth="1"/>
    <col min="9" max="9" width="9.140625" style="133" customWidth="1"/>
    <col min="10" max="10" width="26.140625" style="133" customWidth="1"/>
    <col min="11" max="16384" width="9.140625" style="133"/>
  </cols>
  <sheetData>
    <row r="3" spans="1:10" x14ac:dyDescent="0.25">
      <c r="A3" s="134"/>
      <c r="B3" s="245" t="s">
        <v>103</v>
      </c>
      <c r="C3" s="246"/>
      <c r="D3" s="246"/>
      <c r="E3" s="246"/>
      <c r="F3" s="246"/>
      <c r="G3" s="247"/>
    </row>
    <row r="4" spans="1:10" x14ac:dyDescent="0.25">
      <c r="A4" s="134"/>
      <c r="B4" s="245"/>
      <c r="C4" s="246"/>
      <c r="D4" s="246"/>
      <c r="E4" s="246"/>
      <c r="F4" s="246"/>
      <c r="G4" s="247"/>
    </row>
    <row r="5" spans="1:10" x14ac:dyDescent="0.25">
      <c r="A5" s="134"/>
      <c r="B5" s="245"/>
      <c r="C5" s="246"/>
      <c r="D5" s="246"/>
      <c r="E5" s="246"/>
      <c r="F5" s="246"/>
      <c r="G5" s="247"/>
    </row>
    <row r="6" spans="1:10" ht="17.25" x14ac:dyDescent="0.25">
      <c r="A6" s="134"/>
      <c r="B6" s="1"/>
      <c r="C6" s="1"/>
      <c r="D6" s="1"/>
      <c r="E6" s="1"/>
      <c r="F6" s="1"/>
      <c r="G6" s="143"/>
    </row>
    <row r="7" spans="1:10" ht="18" customHeight="1" x14ac:dyDescent="0.25">
      <c r="A7" s="134"/>
      <c r="B7" s="1"/>
      <c r="C7" s="254" t="s">
        <v>75</v>
      </c>
      <c r="D7" s="254"/>
      <c r="E7" s="254"/>
      <c r="F7" s="254"/>
      <c r="G7" s="142"/>
    </row>
    <row r="8" spans="1:10" ht="12" customHeight="1" x14ac:dyDescent="0.25">
      <c r="A8" s="134"/>
      <c r="B8" s="1"/>
      <c r="C8" s="1"/>
      <c r="D8" s="1"/>
      <c r="E8" s="1"/>
      <c r="F8" s="1"/>
      <c r="G8" s="142"/>
    </row>
    <row r="9" spans="1:10" ht="18" thickBot="1" x14ac:dyDescent="0.3">
      <c r="A9" s="134"/>
      <c r="B9" s="1"/>
      <c r="C9" s="252" t="s">
        <v>104</v>
      </c>
      <c r="D9" s="252"/>
      <c r="E9" s="204"/>
      <c r="F9" s="1"/>
      <c r="G9" s="142"/>
    </row>
    <row r="10" spans="1:10" ht="18" thickBot="1" x14ac:dyDescent="0.3">
      <c r="A10" s="134"/>
      <c r="B10" s="1"/>
      <c r="C10" s="253" t="s">
        <v>105</v>
      </c>
      <c r="D10" s="253"/>
      <c r="E10" s="99"/>
      <c r="F10" s="1"/>
      <c r="G10" s="144"/>
    </row>
    <row r="11" spans="1:10" ht="18" thickBot="1" x14ac:dyDescent="0.3">
      <c r="A11" s="134"/>
      <c r="B11" s="1"/>
      <c r="C11" s="253" t="s">
        <v>106</v>
      </c>
      <c r="D11" s="253"/>
      <c r="E11" s="100"/>
      <c r="F11" s="1"/>
      <c r="G11" s="144"/>
    </row>
    <row r="12" spans="1:10" x14ac:dyDescent="0.25">
      <c r="A12" s="134"/>
      <c r="B12" s="1"/>
      <c r="C12" s="251" t="s">
        <v>107</v>
      </c>
      <c r="D12" s="251"/>
      <c r="E12" s="101"/>
      <c r="F12" s="1"/>
      <c r="G12" s="117"/>
    </row>
    <row r="13" spans="1:10" x14ac:dyDescent="0.25">
      <c r="A13" s="134"/>
      <c r="B13" s="1"/>
      <c r="C13" s="1"/>
      <c r="D13" s="1"/>
      <c r="E13" s="1"/>
      <c r="F13" s="1"/>
      <c r="G13" s="117"/>
    </row>
    <row r="14" spans="1:10" ht="63" customHeight="1" thickBot="1" x14ac:dyDescent="0.3">
      <c r="A14" s="134"/>
      <c r="B14" s="1"/>
      <c r="C14" s="70" t="s">
        <v>108</v>
      </c>
      <c r="D14" s="71" t="s">
        <v>109</v>
      </c>
      <c r="E14" s="72" t="s">
        <v>110</v>
      </c>
      <c r="F14" s="1"/>
      <c r="G14" s="117"/>
    </row>
    <row r="15" spans="1:10" x14ac:dyDescent="0.25">
      <c r="A15" s="134"/>
      <c r="B15" s="1"/>
      <c r="C15" s="102" t="s">
        <v>111</v>
      </c>
      <c r="D15" s="176"/>
      <c r="E15" s="175" t="str">
        <f>IF(OR(ISBLANK($C15),ISBLANK($D15),ISBLANK($E$10),ISBLANK($E$11)),"",IFERROR($D15*VLOOKUP((IF(OR($C15="Residential urban land",$C15="Commercial/industrial urban land",$C15="Open urban land",$C15="Greenspace",$C15="Community food growing",$C15="Woodland",$C15="Shrub", $C15="Water"), "|||"&amp;$C15, (VLOOKUP('Stage 2'!$E$9,Lookups!$C$186:$D$186,2,FALSE)&amp;"|"&amp;$C15&amp;"|"&amp;VLOOKUP('Stage 2'!$E$12,Lookups!$C$200:$D$201,2,FALSE)&amp;"|"&amp;VLOOKUP('Stage 2'!$E$11,Lookups!$C$160:$E$182,3,FALSE)&amp;"|"&amp;VLOOKUP($E$10,Lookups!$C$191:$D$196,2,FALSE)))),Lookups!$H$23:$J$156,3,FALSE),
IFERROR(IFERROR($D15*VLOOKUP($C15&amp;"|"&amp;VLOOKUP('Stage 2'!$E$12,Lookups!$C$200:$D$201,2,FALSE)&amp;"|"&amp;VLOOKUP('Stage 2'!$E$11,Lookups!$C$160:$E$182,3,FALSE)&amp;"|"&amp;VLOOKUP($E$10,Lookups!$C$191:$D$196,2,FALSE),Lookups!$H$23:$J$156,3,FALSE),IFERROR($D15*VLOOKUP($C15&amp;"|"&amp;"TRUE"&amp;"|"&amp;VLOOKUP('Stage 2'!$E$11,Lookups!$C$160:$E$182,3,FALSE)&amp;"|"&amp;VLOOKUP($E$10,Lookups!$C$191:$D$196,2,FALSE),Lookups!$H$23:$J$156,3,FALSE),$D15*VLOOKUP($C15&amp;"|"&amp;VLOOKUP('Stage 2'!$E$12,Lookups!$C$200:$D$201,2,FALSE)&amp;"|"&amp;VLOOKUP('Stage 2'!$E$11,Lookups!$C$160:$E$182,3,FALSE)&amp;"|"&amp;"DrainedArGr",Lookups!$H$23:$J$156,3,FALSE))),IFERROR($D15*VLOOKUP($C15&amp;"|"&amp;VLOOKUP('Stage 2'!$E$11,Lookups!$C$160:$E$182,3,FALSE),Lookups!$K$23:$M$148,3,FALSE),$D15*VLOOKUP($C15,Lookups!$D$23:$O$148,12,FALSE)))))</f>
        <v/>
      </c>
      <c r="F15" s="1"/>
      <c r="G15" s="158"/>
      <c r="H15" s="159"/>
      <c r="I15" s="159"/>
      <c r="J15" s="159"/>
    </row>
    <row r="16" spans="1:10" x14ac:dyDescent="0.25">
      <c r="A16" s="134"/>
      <c r="B16" s="1"/>
      <c r="C16" s="102"/>
      <c r="D16" s="103"/>
      <c r="E16" s="175" t="str">
        <f>IF(OR(ISBLANK($C16),ISBLANK($D16),ISBLANK($E$10),ISBLANK($E$11)),"",IFERROR($D16*VLOOKUP((IF(OR($C16="Residential urban land",$C16="Commercial/industrial urban land",$C16="Open urban land",$C16="Greenspace",$C16="Community food growing",$C16="Woodland",$C16="Shrub", $C16="Water"), "|||"&amp;$C16, (VLOOKUP('Stage 2'!$E$9,Lookups!$C$186:$D$186,2,FALSE)&amp;"|"&amp;$C16&amp;"|"&amp;VLOOKUP('Stage 2'!$E$12,Lookups!$C$200:$D$201,2,FALSE)&amp;"|"&amp;VLOOKUP('Stage 2'!$E$11,Lookups!$C$160:$E$182,3,FALSE)&amp;"|"&amp;VLOOKUP($E$10,Lookups!$C$191:$D$196,2,FALSE)))),Lookups!$H$23:$J$156,3,FALSE),
IFERROR(IFERROR($D16*VLOOKUP($C16&amp;"|"&amp;VLOOKUP('Stage 2'!$E$12,Lookups!$C$200:$D$201,2,FALSE)&amp;"|"&amp;VLOOKUP('Stage 2'!$E$11,Lookups!$C$160:$E$182,3,FALSE)&amp;"|"&amp;VLOOKUP($E$10,Lookups!$C$191:$D$196,2,FALSE),Lookups!$H$23:$J$156,3,FALSE),IFERROR($D16*VLOOKUP($C16&amp;"|"&amp;"TRUE"&amp;"|"&amp;VLOOKUP('Stage 2'!$E$11,Lookups!$C$160:$E$182,3,FALSE)&amp;"|"&amp;VLOOKUP($E$10,Lookups!$C$191:$D$196,2,FALSE),Lookups!$H$23:$J$156,3,FALSE),$D16*VLOOKUP($C16&amp;"|"&amp;VLOOKUP('Stage 2'!$E$12,Lookups!$C$200:$D$201,2,FALSE)&amp;"|"&amp;VLOOKUP('Stage 2'!$E$11,Lookups!$C$160:$E$182,3,FALSE)&amp;"|"&amp;"DrainedArGr",Lookups!$H$23:$J$156,3,FALSE))),IFERROR($D16*VLOOKUP($C16&amp;"|"&amp;VLOOKUP('Stage 2'!$E$11,Lookups!$C$160:$E$182,3,FALSE),Lookups!$K$23:$M$148,3,FALSE),$D16*VLOOKUP($C16,Lookups!$D$23:$O$148,12,FALSE)))))</f>
        <v/>
      </c>
      <c r="F16" s="1"/>
      <c r="G16" s="158"/>
      <c r="H16" s="159"/>
      <c r="I16" s="159"/>
      <c r="J16" s="159"/>
    </row>
    <row r="17" spans="1:10" x14ac:dyDescent="0.25">
      <c r="A17" s="134"/>
      <c r="B17" s="1"/>
      <c r="C17" s="102"/>
      <c r="D17" s="103"/>
      <c r="E17" s="175" t="str">
        <f>IF(OR(ISBLANK($C17),ISBLANK($D17),ISBLANK($E$10),ISBLANK($E$11)),"",IFERROR($D17*VLOOKUP((IF(OR($C17="Residential urban land",$C17="Commercial/industrial urban land",$C17="Open urban land",$C17="Greenspace",$C17="Community food growing",$C17="Woodland",$C17="Shrub", $C17="Water"), "|||"&amp;$C17, (VLOOKUP('Stage 2'!$E$9,Lookups!$C$186:$D$186,2,FALSE)&amp;"|"&amp;$C17&amp;"|"&amp;VLOOKUP('Stage 2'!$E$12,Lookups!$C$200:$D$201,2,FALSE)&amp;"|"&amp;VLOOKUP('Stage 2'!$E$11,Lookups!$C$160:$E$182,3,FALSE)&amp;"|"&amp;VLOOKUP($E$10,Lookups!$C$191:$D$196,2,FALSE)))),Lookups!$H$23:$J$156,3,FALSE),
IFERROR(IFERROR($D17*VLOOKUP($C17&amp;"|"&amp;VLOOKUP('Stage 2'!$E$12,Lookups!$C$200:$D$201,2,FALSE)&amp;"|"&amp;VLOOKUP('Stage 2'!$E$11,Lookups!$C$160:$E$182,3,FALSE)&amp;"|"&amp;VLOOKUP($E$10,Lookups!$C$191:$D$196,2,FALSE),Lookups!$H$23:$J$156,3,FALSE),IFERROR($D17*VLOOKUP($C17&amp;"|"&amp;"TRUE"&amp;"|"&amp;VLOOKUP('Stage 2'!$E$11,Lookups!$C$160:$E$182,3,FALSE)&amp;"|"&amp;VLOOKUP($E$10,Lookups!$C$191:$D$196,2,FALSE),Lookups!$H$23:$J$156,3,FALSE),$D17*VLOOKUP($C17&amp;"|"&amp;VLOOKUP('Stage 2'!$E$12,Lookups!$C$200:$D$201,2,FALSE)&amp;"|"&amp;VLOOKUP('Stage 2'!$E$11,Lookups!$C$160:$E$182,3,FALSE)&amp;"|"&amp;"DrainedArGr",Lookups!$H$23:$J$156,3,FALSE))),IFERROR($D17*VLOOKUP($C17&amp;"|"&amp;VLOOKUP('Stage 2'!$E$11,Lookups!$C$160:$E$182,3,FALSE),Lookups!$K$23:$M$148,3,FALSE),$D17*VLOOKUP($C17,Lookups!$D$23:$O$148,12,FALSE)))))</f>
        <v/>
      </c>
      <c r="F17" s="1"/>
      <c r="G17" s="158"/>
      <c r="H17" s="159"/>
      <c r="I17" s="159"/>
      <c r="J17" s="159"/>
    </row>
    <row r="18" spans="1:10" x14ac:dyDescent="0.25">
      <c r="A18" s="134"/>
      <c r="B18" s="1"/>
      <c r="C18" s="102"/>
      <c r="D18" s="103"/>
      <c r="E18" s="175" t="str">
        <f>IF(OR(ISBLANK($C18),ISBLANK($D18),ISBLANK($E$10),ISBLANK($E$11)),"",IFERROR($D18*VLOOKUP((IF(OR($C18="Residential urban land",$C18="Commercial/industrial urban land",$C18="Open urban land",$C18="Greenspace",$C18="Community food growing",$C18="Woodland",$C18="Shrub", $C18="Water"), "|||"&amp;$C18, (VLOOKUP('Stage 2'!$E$9,Lookups!$C$186:$D$186,2,FALSE)&amp;"|"&amp;$C18&amp;"|"&amp;VLOOKUP('Stage 2'!$E$12,Lookups!$C$200:$D$201,2,FALSE)&amp;"|"&amp;VLOOKUP('Stage 2'!$E$11,Lookups!$C$160:$E$182,3,FALSE)&amp;"|"&amp;VLOOKUP($E$10,Lookups!$C$191:$D$196,2,FALSE)))),Lookups!$H$23:$J$156,3,FALSE),
IFERROR(IFERROR($D18*VLOOKUP($C18&amp;"|"&amp;VLOOKUP('Stage 2'!$E$12,Lookups!$C$200:$D$201,2,FALSE)&amp;"|"&amp;VLOOKUP('Stage 2'!$E$11,Lookups!$C$160:$E$182,3,FALSE)&amp;"|"&amp;VLOOKUP($E$10,Lookups!$C$191:$D$196,2,FALSE),Lookups!$H$23:$J$156,3,FALSE),IFERROR($D18*VLOOKUP($C18&amp;"|"&amp;"TRUE"&amp;"|"&amp;VLOOKUP('Stage 2'!$E$11,Lookups!$C$160:$E$182,3,FALSE)&amp;"|"&amp;VLOOKUP($E$10,Lookups!$C$191:$D$196,2,FALSE),Lookups!$H$23:$J$156,3,FALSE),$D18*VLOOKUP($C18&amp;"|"&amp;VLOOKUP('Stage 2'!$E$12,Lookups!$C$200:$D$201,2,FALSE)&amp;"|"&amp;VLOOKUP('Stage 2'!$E$11,Lookups!$C$160:$E$182,3,FALSE)&amp;"|"&amp;"DrainedArGr",Lookups!$H$23:$J$156,3,FALSE))),IFERROR($D18*VLOOKUP($C18&amp;"|"&amp;VLOOKUP('Stage 2'!$E$11,Lookups!$C$160:$E$182,3,FALSE),Lookups!$K$23:$M$148,3,FALSE),$D18*VLOOKUP($C18,Lookups!$D$23:$O$148,12,FALSE)))))</f>
        <v/>
      </c>
      <c r="F18" s="1"/>
      <c r="G18" s="158"/>
      <c r="H18" s="159"/>
      <c r="I18" s="159"/>
      <c r="J18" s="159"/>
    </row>
    <row r="19" spans="1:10" x14ac:dyDescent="0.25">
      <c r="A19" s="134"/>
      <c r="B19" s="1"/>
      <c r="C19" s="102"/>
      <c r="D19" s="103"/>
      <c r="E19" s="175" t="str">
        <f>IF(OR(ISBLANK($C19),ISBLANK($D19),ISBLANK($E$10),ISBLANK($E$11)),"",IFERROR($D19*VLOOKUP((IF(OR($C19="Residential urban land",$C19="Commercial/industrial urban land",$C19="Open urban land",$C19="Greenspace",$C19="Community food growing",$C19="Woodland",$C19="Shrub", $C19="Water"), "|||"&amp;$C19, (VLOOKUP('Stage 2'!$E$9,Lookups!$C$186:$D$186,2,FALSE)&amp;"|"&amp;$C19&amp;"|"&amp;VLOOKUP('Stage 2'!$E$12,Lookups!$C$200:$D$201,2,FALSE)&amp;"|"&amp;VLOOKUP('Stage 2'!$E$11,Lookups!$C$160:$E$182,3,FALSE)&amp;"|"&amp;VLOOKUP($E$10,Lookups!$C$191:$D$196,2,FALSE)))),Lookups!$H$23:$J$156,3,FALSE),
IFERROR(IFERROR($D19*VLOOKUP($C19&amp;"|"&amp;VLOOKUP('Stage 2'!$E$12,Lookups!$C$200:$D$201,2,FALSE)&amp;"|"&amp;VLOOKUP('Stage 2'!$E$11,Lookups!$C$160:$E$182,3,FALSE)&amp;"|"&amp;VLOOKUP($E$10,Lookups!$C$191:$D$196,2,FALSE),Lookups!$H$23:$J$156,3,FALSE),IFERROR($D19*VLOOKUP($C19&amp;"|"&amp;"TRUE"&amp;"|"&amp;VLOOKUP('Stage 2'!$E$11,Lookups!$C$160:$E$182,3,FALSE)&amp;"|"&amp;VLOOKUP($E$10,Lookups!$C$191:$D$196,2,FALSE),Lookups!$H$23:$J$156,3,FALSE),$D19*VLOOKUP($C19&amp;"|"&amp;VLOOKUP('Stage 2'!$E$12,Lookups!$C$200:$D$201,2,FALSE)&amp;"|"&amp;VLOOKUP('Stage 2'!$E$11,Lookups!$C$160:$E$182,3,FALSE)&amp;"|"&amp;"DrainedArGr",Lookups!$H$23:$J$156,3,FALSE))),IFERROR($D19*VLOOKUP($C19&amp;"|"&amp;VLOOKUP('Stage 2'!$E$11,Lookups!$C$160:$E$182,3,FALSE),Lookups!$K$23:$M$148,3,FALSE),$D19*VLOOKUP($C19,Lookups!$D$23:$O$148,12,FALSE)))))</f>
        <v/>
      </c>
      <c r="F19" s="1"/>
      <c r="G19" s="158"/>
      <c r="H19" s="159"/>
      <c r="I19" s="159"/>
      <c r="J19" s="159"/>
    </row>
    <row r="20" spans="1:10" x14ac:dyDescent="0.25">
      <c r="A20" s="134"/>
      <c r="B20" s="1"/>
      <c r="C20" s="102"/>
      <c r="D20" s="103"/>
      <c r="E20" s="175" t="str">
        <f>IF(OR(ISBLANK($C20),ISBLANK($D20),ISBLANK($E$10),ISBLANK($E$11)),"",IFERROR($D20*VLOOKUP((IF(OR($C20="Residential urban land",$C20="Commercial/industrial urban land",$C20="Open urban land",$C20="Greenspace",$C20="Community food growing",$C20="Woodland",$C20="Shrub", $C20="Water"), "|||"&amp;$C20, (VLOOKUP('Stage 2'!$E$9,Lookups!$C$186:$D$186,2,FALSE)&amp;"|"&amp;$C20&amp;"|"&amp;VLOOKUP('Stage 2'!$E$12,Lookups!$C$200:$D$201,2,FALSE)&amp;"|"&amp;VLOOKUP('Stage 2'!$E$11,Lookups!$C$160:$E$182,3,FALSE)&amp;"|"&amp;VLOOKUP($E$10,Lookups!$C$191:$D$196,2,FALSE)))),Lookups!$H$23:$J$156,3,FALSE),
IFERROR(IFERROR($D20*VLOOKUP($C20&amp;"|"&amp;VLOOKUP('Stage 2'!$E$12,Lookups!$C$200:$D$201,2,FALSE)&amp;"|"&amp;VLOOKUP('Stage 2'!$E$11,Lookups!$C$160:$E$182,3,FALSE)&amp;"|"&amp;VLOOKUP($E$10,Lookups!$C$191:$D$196,2,FALSE),Lookups!$H$23:$J$156,3,FALSE),IFERROR($D20*VLOOKUP($C20&amp;"|"&amp;"TRUE"&amp;"|"&amp;VLOOKUP('Stage 2'!$E$11,Lookups!$C$160:$E$182,3,FALSE)&amp;"|"&amp;VLOOKUP($E$10,Lookups!$C$191:$D$196,2,FALSE),Lookups!$H$23:$J$156,3,FALSE),$D20*VLOOKUP($C20&amp;"|"&amp;VLOOKUP('Stage 2'!$E$12,Lookups!$C$200:$D$201,2,FALSE)&amp;"|"&amp;VLOOKUP('Stage 2'!$E$11,Lookups!$C$160:$E$182,3,FALSE)&amp;"|"&amp;"DrainedArGr",Lookups!$H$23:$J$156,3,FALSE))),IFERROR($D20*VLOOKUP($C20&amp;"|"&amp;VLOOKUP('Stage 2'!$E$11,Lookups!$C$160:$E$182,3,FALSE),Lookups!$K$23:$M$148,3,FALSE),$D20*VLOOKUP($C20,Lookups!$D$23:$O$148,12,FALSE)))))</f>
        <v/>
      </c>
      <c r="F20" s="1"/>
      <c r="G20" s="158"/>
      <c r="H20" s="159"/>
      <c r="I20" s="159"/>
      <c r="J20" s="159"/>
    </row>
    <row r="21" spans="1:10" x14ac:dyDescent="0.25">
      <c r="A21" s="134"/>
      <c r="B21" s="1"/>
      <c r="C21" s="102"/>
      <c r="D21" s="103"/>
      <c r="E21" s="175" t="str">
        <f>IF(OR(ISBLANK($C21),ISBLANK($D21),ISBLANK($E$10),ISBLANK($E$11)),"",IFERROR($D21*VLOOKUP((IF(OR($C21="Residential urban land",$C21="Commercial/industrial urban land",$C21="Open urban land",$C21="Greenspace",$C21="Community food growing",$C21="Woodland",$C21="Shrub", $C21="Water"), "|||"&amp;$C21, (VLOOKUP('Stage 2'!$E$9,Lookups!$C$186:$D$186,2,FALSE)&amp;"|"&amp;$C21&amp;"|"&amp;VLOOKUP('Stage 2'!$E$12,Lookups!$C$200:$D$201,2,FALSE)&amp;"|"&amp;VLOOKUP('Stage 2'!$E$11,Lookups!$C$160:$E$182,3,FALSE)&amp;"|"&amp;VLOOKUP($E$10,Lookups!$C$191:$D$196,2,FALSE)))),Lookups!$H$23:$J$156,3,FALSE),
IFERROR(IFERROR($D21*VLOOKUP($C21&amp;"|"&amp;VLOOKUP('Stage 2'!$E$12,Lookups!$C$200:$D$201,2,FALSE)&amp;"|"&amp;VLOOKUP('Stage 2'!$E$11,Lookups!$C$160:$E$182,3,FALSE)&amp;"|"&amp;VLOOKUP($E$10,Lookups!$C$191:$D$196,2,FALSE),Lookups!$H$23:$J$156,3,FALSE),IFERROR($D21*VLOOKUP($C21&amp;"|"&amp;"TRUE"&amp;"|"&amp;VLOOKUP('Stage 2'!$E$11,Lookups!$C$160:$E$182,3,FALSE)&amp;"|"&amp;VLOOKUP($E$10,Lookups!$C$191:$D$196,2,FALSE),Lookups!$H$23:$J$156,3,FALSE),$D21*VLOOKUP($C21&amp;"|"&amp;VLOOKUP('Stage 2'!$E$12,Lookups!$C$200:$D$201,2,FALSE)&amp;"|"&amp;VLOOKUP('Stage 2'!$E$11,Lookups!$C$160:$E$182,3,FALSE)&amp;"|"&amp;"DrainedArGr",Lookups!$H$23:$J$156,3,FALSE))),IFERROR($D21*VLOOKUP($C21&amp;"|"&amp;VLOOKUP('Stage 2'!$E$11,Lookups!$C$160:$E$182,3,FALSE),Lookups!$K$23:$M$148,3,FALSE),$D21*VLOOKUP($C21,Lookups!$D$23:$O$148,12,FALSE)))))</f>
        <v/>
      </c>
      <c r="F21" s="1"/>
      <c r="G21" s="152"/>
    </row>
    <row r="22" spans="1:10" x14ac:dyDescent="0.25">
      <c r="A22" s="134"/>
      <c r="B22" s="1"/>
      <c r="C22" s="102"/>
      <c r="D22" s="103"/>
      <c r="E22" s="175" t="str">
        <f>IF(OR(ISBLANK($C22),ISBLANK($D22),ISBLANK($E$10),ISBLANK($E$11)),"",IFERROR($D22*VLOOKUP((IF(OR($C22="Residential urban land",$C22="Commercial/industrial urban land",$C22="Open urban land",$C22="Greenspace",$C22="Community food growing",$C22="Woodland",$C22="Shrub", $C22="Water"), "|||"&amp;$C22, (VLOOKUP('Stage 2'!$E$9,Lookups!$C$186:$D$186,2,FALSE)&amp;"|"&amp;$C22&amp;"|"&amp;VLOOKUP('Stage 2'!$E$12,Lookups!$C$200:$D$201,2,FALSE)&amp;"|"&amp;VLOOKUP('Stage 2'!$E$11,Lookups!$C$160:$E$182,3,FALSE)&amp;"|"&amp;VLOOKUP($E$10,Lookups!$C$191:$D$196,2,FALSE)))),Lookups!$H$23:$J$156,3,FALSE),
IFERROR(IFERROR($D22*VLOOKUP($C22&amp;"|"&amp;VLOOKUP('Stage 2'!$E$12,Lookups!$C$200:$D$201,2,FALSE)&amp;"|"&amp;VLOOKUP('Stage 2'!$E$11,Lookups!$C$160:$E$182,3,FALSE)&amp;"|"&amp;VLOOKUP($E$10,Lookups!$C$191:$D$196,2,FALSE),Lookups!$H$23:$J$156,3,FALSE),IFERROR($D22*VLOOKUP($C22&amp;"|"&amp;"TRUE"&amp;"|"&amp;VLOOKUP('Stage 2'!$E$11,Lookups!$C$160:$E$182,3,FALSE)&amp;"|"&amp;VLOOKUP($E$10,Lookups!$C$191:$D$196,2,FALSE),Lookups!$H$23:$J$156,3,FALSE),$D22*VLOOKUP($C22&amp;"|"&amp;VLOOKUP('Stage 2'!$E$12,Lookups!$C$200:$D$201,2,FALSE)&amp;"|"&amp;VLOOKUP('Stage 2'!$E$11,Lookups!$C$160:$E$182,3,FALSE)&amp;"|"&amp;"DrainedArGr",Lookups!$H$23:$J$156,3,FALSE))),IFERROR($D22*VLOOKUP($C22&amp;"|"&amp;VLOOKUP('Stage 2'!$E$11,Lookups!$C$160:$E$182,3,FALSE),Lookups!$K$23:$M$148,3,FALSE),$D22*VLOOKUP($C22,Lookups!$D$23:$O$148,12,FALSE)))))</f>
        <v/>
      </c>
      <c r="F22" s="1"/>
      <c r="G22" s="152"/>
    </row>
    <row r="23" spans="1:10" x14ac:dyDescent="0.25">
      <c r="A23" s="134"/>
      <c r="B23" s="1"/>
      <c r="C23" s="102"/>
      <c r="D23" s="103"/>
      <c r="E23" s="175" t="str">
        <f>IF(OR(ISBLANK($C23),ISBLANK($D23),ISBLANK($E$10),ISBLANK($E$11)),"",IFERROR($D23*VLOOKUP((IF(OR($C23="Residential urban land",$C23="Commercial/industrial urban land",$C23="Open urban land",$C23="Greenspace",$C23="Community food growing",$C23="Woodland",$C23="Shrub", $C23="Water"), "|||"&amp;$C23, (VLOOKUP('Stage 2'!$E$9,Lookups!$C$186:$D$186,2,FALSE)&amp;"|"&amp;$C23&amp;"|"&amp;VLOOKUP('Stage 2'!$E$12,Lookups!$C$200:$D$201,2,FALSE)&amp;"|"&amp;VLOOKUP('Stage 2'!$E$11,Lookups!$C$160:$E$182,3,FALSE)&amp;"|"&amp;VLOOKUP($E$10,Lookups!$C$191:$D$196,2,FALSE)))),Lookups!$H$23:$J$156,3,FALSE),
IFERROR(IFERROR($D23*VLOOKUP($C23&amp;"|"&amp;VLOOKUP('Stage 2'!$E$12,Lookups!$C$200:$D$201,2,FALSE)&amp;"|"&amp;VLOOKUP('Stage 2'!$E$11,Lookups!$C$160:$E$182,3,FALSE)&amp;"|"&amp;VLOOKUP($E$10,Lookups!$C$191:$D$196,2,FALSE),Lookups!$H$23:$J$156,3,FALSE),IFERROR($D23*VLOOKUP($C23&amp;"|"&amp;"TRUE"&amp;"|"&amp;VLOOKUP('Stage 2'!$E$11,Lookups!$C$160:$E$182,3,FALSE)&amp;"|"&amp;VLOOKUP($E$10,Lookups!$C$191:$D$196,2,FALSE),Lookups!$H$23:$J$156,3,FALSE),$D23*VLOOKUP($C23&amp;"|"&amp;VLOOKUP('Stage 2'!$E$12,Lookups!$C$200:$D$201,2,FALSE)&amp;"|"&amp;VLOOKUP('Stage 2'!$E$11,Lookups!$C$160:$E$182,3,FALSE)&amp;"|"&amp;"DrainedArGr",Lookups!$H$23:$J$156,3,FALSE))),IFERROR($D23*VLOOKUP($C23&amp;"|"&amp;VLOOKUP('Stage 2'!$E$11,Lookups!$C$160:$E$182,3,FALSE),Lookups!$K$23:$M$148,3,FALSE),$D23*VLOOKUP($C23,Lookups!$D$23:$O$148,12,FALSE)))))</f>
        <v/>
      </c>
      <c r="F23" s="1"/>
      <c r="G23" s="152"/>
    </row>
    <row r="24" spans="1:10" x14ac:dyDescent="0.25">
      <c r="A24" s="134"/>
      <c r="B24" s="1"/>
      <c r="C24" s="102"/>
      <c r="D24" s="103"/>
      <c r="E24" s="175" t="str">
        <f>IF(OR(ISBLANK($C24),ISBLANK($D24),ISBLANK($E$10),ISBLANK($E$11)),"",IFERROR($D24*VLOOKUP((IF(OR($C24="Residential urban land",$C24="Commercial/industrial urban land",$C24="Open urban land",$C24="Greenspace",$C24="Community food growing",$C24="Woodland",$C24="Shrub", $C24="Water"), "|||"&amp;$C24, (VLOOKUP('Stage 2'!$E$9,Lookups!$C$186:$D$186,2,FALSE)&amp;"|"&amp;$C24&amp;"|"&amp;VLOOKUP('Stage 2'!$E$12,Lookups!$C$200:$D$201,2,FALSE)&amp;"|"&amp;VLOOKUP('Stage 2'!$E$11,Lookups!$C$160:$E$182,3,FALSE)&amp;"|"&amp;VLOOKUP($E$10,Lookups!$C$191:$D$196,2,FALSE)))),Lookups!$H$23:$J$156,3,FALSE),
IFERROR(IFERROR($D24*VLOOKUP($C24&amp;"|"&amp;VLOOKUP('Stage 2'!$E$12,Lookups!$C$200:$D$201,2,FALSE)&amp;"|"&amp;VLOOKUP('Stage 2'!$E$11,Lookups!$C$160:$E$182,3,FALSE)&amp;"|"&amp;VLOOKUP($E$10,Lookups!$C$191:$D$196,2,FALSE),Lookups!$H$23:$J$156,3,FALSE),IFERROR($D24*VLOOKUP($C24&amp;"|"&amp;"TRUE"&amp;"|"&amp;VLOOKUP('Stage 2'!$E$11,Lookups!$C$160:$E$182,3,FALSE)&amp;"|"&amp;VLOOKUP($E$10,Lookups!$C$191:$D$196,2,FALSE),Lookups!$H$23:$J$156,3,FALSE),$D24*VLOOKUP($C24&amp;"|"&amp;VLOOKUP('Stage 2'!$E$12,Lookups!$C$200:$D$201,2,FALSE)&amp;"|"&amp;VLOOKUP('Stage 2'!$E$11,Lookups!$C$160:$E$182,3,FALSE)&amp;"|"&amp;"DrainedArGr",Lookups!$H$23:$J$156,3,FALSE))),IFERROR($D24*VLOOKUP($C24&amp;"|"&amp;VLOOKUP('Stage 2'!$E$11,Lookups!$C$160:$E$182,3,FALSE),Lookups!$K$23:$M$148,3,FALSE),$D24*VLOOKUP($C24,Lookups!$D$23:$O$148,12,FALSE)))))</f>
        <v/>
      </c>
      <c r="F24" s="1"/>
      <c r="G24" s="152"/>
    </row>
    <row r="25" spans="1:10" x14ac:dyDescent="0.25">
      <c r="A25" s="134"/>
      <c r="B25" s="1"/>
      <c r="C25" s="102"/>
      <c r="D25" s="103"/>
      <c r="E25" s="175" t="str">
        <f>IF(OR(ISBLANK($C25),ISBLANK($D25),ISBLANK($E$10),ISBLANK($E$11)),"",IFERROR($D25*VLOOKUP((IF(OR($C25="Residential urban land",$C25="Commercial/industrial urban land",$C25="Open urban land",$C25="Greenspace",$C25="Community food growing",$C25="Woodland",$C25="Shrub", $C25="Water"), "|||"&amp;$C25, (VLOOKUP('Stage 2'!$E$9,Lookups!$C$186:$D$186,2,FALSE)&amp;"|"&amp;$C25&amp;"|"&amp;VLOOKUP('Stage 2'!$E$12,Lookups!$C$200:$D$201,2,FALSE)&amp;"|"&amp;VLOOKUP('Stage 2'!$E$11,Lookups!$C$160:$E$182,3,FALSE)&amp;"|"&amp;VLOOKUP($E$10,Lookups!$C$191:$D$196,2,FALSE)))),Lookups!$H$23:$J$156,3,FALSE),
IFERROR(IFERROR($D25*VLOOKUP($C25&amp;"|"&amp;VLOOKUP('Stage 2'!$E$12,Lookups!$C$200:$D$201,2,FALSE)&amp;"|"&amp;VLOOKUP('Stage 2'!$E$11,Lookups!$C$160:$E$182,3,FALSE)&amp;"|"&amp;VLOOKUP($E$10,Lookups!$C$191:$D$196,2,FALSE),Lookups!$H$23:$J$156,3,FALSE),IFERROR($D25*VLOOKUP($C25&amp;"|"&amp;"TRUE"&amp;"|"&amp;VLOOKUP('Stage 2'!$E$11,Lookups!$C$160:$E$182,3,FALSE)&amp;"|"&amp;VLOOKUP($E$10,Lookups!$C$191:$D$196,2,FALSE),Lookups!$H$23:$J$156,3,FALSE),$D25*VLOOKUP($C25&amp;"|"&amp;VLOOKUP('Stage 2'!$E$12,Lookups!$C$200:$D$201,2,FALSE)&amp;"|"&amp;VLOOKUP('Stage 2'!$E$11,Lookups!$C$160:$E$182,3,FALSE)&amp;"|"&amp;"DrainedArGr",Lookups!$H$23:$J$156,3,FALSE))),IFERROR($D25*VLOOKUP($C25&amp;"|"&amp;VLOOKUP('Stage 2'!$E$11,Lookups!$C$160:$E$182,3,FALSE),Lookups!$K$23:$M$148,3,FALSE),$D25*VLOOKUP($C25,Lookups!$D$23:$O$148,12,FALSE)))))</f>
        <v/>
      </c>
      <c r="F25" s="1"/>
      <c r="G25" s="152"/>
    </row>
    <row r="26" spans="1:10" x14ac:dyDescent="0.25">
      <c r="A26" s="134"/>
      <c r="B26" s="1"/>
      <c r="C26" s="102"/>
      <c r="D26" s="103"/>
      <c r="E26" s="175" t="str">
        <f>IF(OR(ISBLANK($C26),ISBLANK($D26),ISBLANK($E$10),ISBLANK($E$11)),"",IFERROR($D26*VLOOKUP((IF(OR($C26="Residential urban land",$C26="Commercial/industrial urban land",$C26="Open urban land",$C26="Greenspace",$C26="Community food growing",$C26="Woodland",$C26="Shrub", $C26="Water"), "|||"&amp;$C26, (VLOOKUP('Stage 2'!$E$9,Lookups!$C$186:$D$186,2,FALSE)&amp;"|"&amp;$C26&amp;"|"&amp;VLOOKUP('Stage 2'!$E$12,Lookups!$C$200:$D$201,2,FALSE)&amp;"|"&amp;VLOOKUP('Stage 2'!$E$11,Lookups!$C$160:$E$182,3,FALSE)&amp;"|"&amp;VLOOKUP($E$10,Lookups!$C$191:$D$196,2,FALSE)))),Lookups!$H$23:$J$156,3,FALSE),
IFERROR(IFERROR($D26*VLOOKUP($C26&amp;"|"&amp;VLOOKUP('Stage 2'!$E$12,Lookups!$C$200:$D$201,2,FALSE)&amp;"|"&amp;VLOOKUP('Stage 2'!$E$11,Lookups!$C$160:$E$182,3,FALSE)&amp;"|"&amp;VLOOKUP($E$10,Lookups!$C$191:$D$196,2,FALSE),Lookups!$H$23:$J$156,3,FALSE),IFERROR($D26*VLOOKUP($C26&amp;"|"&amp;"TRUE"&amp;"|"&amp;VLOOKUP('Stage 2'!$E$11,Lookups!$C$160:$E$182,3,FALSE)&amp;"|"&amp;VLOOKUP($E$10,Lookups!$C$191:$D$196,2,FALSE),Lookups!$H$23:$J$156,3,FALSE),$D26*VLOOKUP($C26&amp;"|"&amp;VLOOKUP('Stage 2'!$E$12,Lookups!$C$200:$D$201,2,FALSE)&amp;"|"&amp;VLOOKUP('Stage 2'!$E$11,Lookups!$C$160:$E$182,3,FALSE)&amp;"|"&amp;"DrainedArGr",Lookups!$H$23:$J$156,3,FALSE))),IFERROR($D26*VLOOKUP($C26&amp;"|"&amp;VLOOKUP('Stage 2'!$E$11,Lookups!$C$160:$E$182,3,FALSE),Lookups!$K$23:$M$148,3,FALSE),$D26*VLOOKUP($C26,Lookups!$D$23:$O$148,12,FALSE)))))</f>
        <v/>
      </c>
      <c r="F26" s="1"/>
      <c r="G26" s="152"/>
    </row>
    <row r="27" spans="1:10" x14ac:dyDescent="0.25">
      <c r="A27" s="134"/>
      <c r="B27" s="1"/>
      <c r="C27" s="102"/>
      <c r="D27" s="103"/>
      <c r="E27" s="175" t="str">
        <f>IF(OR(ISBLANK($C27),ISBLANK($D27),ISBLANK($E$10),ISBLANK($E$11)),"",IFERROR($D27*VLOOKUP((IF(OR($C27="Residential urban land",$C27="Commercial/industrial urban land",$C27="Open urban land",$C27="Greenspace",$C27="Community food growing",$C27="Woodland",$C27="Shrub", $C27="Water"), "|||"&amp;$C27, (VLOOKUP('Stage 2'!$E$9,Lookups!$C$186:$D$186,2,FALSE)&amp;"|"&amp;$C27&amp;"|"&amp;VLOOKUP('Stage 2'!$E$12,Lookups!$C$200:$D$201,2,FALSE)&amp;"|"&amp;VLOOKUP('Stage 2'!$E$11,Lookups!$C$160:$E$182,3,FALSE)&amp;"|"&amp;VLOOKUP($E$10,Lookups!$C$191:$D$196,2,FALSE)))),Lookups!$H$23:$J$156,3,FALSE),
IFERROR(IFERROR($D27*VLOOKUP($C27&amp;"|"&amp;VLOOKUP('Stage 2'!$E$12,Lookups!$C$200:$D$201,2,FALSE)&amp;"|"&amp;VLOOKUP('Stage 2'!$E$11,Lookups!$C$160:$E$182,3,FALSE)&amp;"|"&amp;VLOOKUP($E$10,Lookups!$C$191:$D$196,2,FALSE),Lookups!$H$23:$J$156,3,FALSE),IFERROR($D27*VLOOKUP($C27&amp;"|"&amp;"TRUE"&amp;"|"&amp;VLOOKUP('Stage 2'!$E$11,Lookups!$C$160:$E$182,3,FALSE)&amp;"|"&amp;VLOOKUP($E$10,Lookups!$C$191:$D$196,2,FALSE),Lookups!$H$23:$J$156,3,FALSE),$D27*VLOOKUP($C27&amp;"|"&amp;VLOOKUP('Stage 2'!$E$12,Lookups!$C$200:$D$201,2,FALSE)&amp;"|"&amp;VLOOKUP('Stage 2'!$E$11,Lookups!$C$160:$E$182,3,FALSE)&amp;"|"&amp;"DrainedArGr",Lookups!$H$23:$J$156,3,FALSE))),IFERROR($D27*VLOOKUP($C27&amp;"|"&amp;VLOOKUP('Stage 2'!$E$11,Lookups!$C$160:$E$182,3,FALSE),Lookups!$K$23:$M$148,3,FALSE),$D27*VLOOKUP($C27,Lookups!$D$23:$O$148,12,FALSE)))))</f>
        <v/>
      </c>
      <c r="F27" s="1"/>
      <c r="G27" s="152"/>
    </row>
    <row r="28" spans="1:10" x14ac:dyDescent="0.25">
      <c r="A28" s="134"/>
      <c r="B28" s="1"/>
      <c r="C28" s="102"/>
      <c r="D28" s="103"/>
      <c r="E28" s="175" t="str">
        <f>IF(OR(ISBLANK($C28),ISBLANK($D28),ISBLANK($E$10),ISBLANK($E$11)),"",IFERROR($D28*VLOOKUP((IF(OR($C28="Residential urban land",$C28="Commercial/industrial urban land",$C28="Open urban land",$C28="Greenspace",$C28="Community food growing",$C28="Woodland",$C28="Shrub", $C28="Water"), "|||"&amp;$C28, (VLOOKUP('Stage 2'!$E$9,Lookups!$C$186:$D$186,2,FALSE)&amp;"|"&amp;$C28&amp;"|"&amp;VLOOKUP('Stage 2'!$E$12,Lookups!$C$200:$D$201,2,FALSE)&amp;"|"&amp;VLOOKUP('Stage 2'!$E$11,Lookups!$C$160:$E$182,3,FALSE)&amp;"|"&amp;VLOOKUP($E$10,Lookups!$C$191:$D$196,2,FALSE)))),Lookups!$H$23:$J$156,3,FALSE),
IFERROR(IFERROR($D28*VLOOKUP($C28&amp;"|"&amp;VLOOKUP('Stage 2'!$E$12,Lookups!$C$200:$D$201,2,FALSE)&amp;"|"&amp;VLOOKUP('Stage 2'!$E$11,Lookups!$C$160:$E$182,3,FALSE)&amp;"|"&amp;VLOOKUP($E$10,Lookups!$C$191:$D$196,2,FALSE),Lookups!$H$23:$J$156,3,FALSE),IFERROR($D28*VLOOKUP($C28&amp;"|"&amp;"TRUE"&amp;"|"&amp;VLOOKUP('Stage 2'!$E$11,Lookups!$C$160:$E$182,3,FALSE)&amp;"|"&amp;VLOOKUP($E$10,Lookups!$C$191:$D$196,2,FALSE),Lookups!$H$23:$J$156,3,FALSE),$D28*VLOOKUP($C28&amp;"|"&amp;VLOOKUP('Stage 2'!$E$12,Lookups!$C$200:$D$201,2,FALSE)&amp;"|"&amp;VLOOKUP('Stage 2'!$E$11,Lookups!$C$160:$E$182,3,FALSE)&amp;"|"&amp;"DrainedArGr",Lookups!$H$23:$J$156,3,FALSE))),IFERROR($D28*VLOOKUP($C28&amp;"|"&amp;VLOOKUP('Stage 2'!$E$11,Lookups!$C$160:$E$182,3,FALSE),Lookups!$K$23:$M$148,3,FALSE),$D28*VLOOKUP($C28,Lookups!$D$23:$O$148,12,FALSE)))))</f>
        <v/>
      </c>
      <c r="F28" s="1"/>
      <c r="G28" s="152"/>
      <c r="I28" s="160"/>
    </row>
    <row r="29" spans="1:10" x14ac:dyDescent="0.25">
      <c r="A29" s="134"/>
      <c r="B29" s="1"/>
      <c r="C29" s="102"/>
      <c r="D29" s="103"/>
      <c r="E29" s="175" t="str">
        <f>IF(OR(ISBLANK($C29),ISBLANK($D29),ISBLANK($E$10),ISBLANK($E$11)),"",IFERROR($D29*VLOOKUP((IF(OR($C29="Residential urban land",$C29="Commercial/industrial urban land",$C29="Open urban land",$C29="Greenspace",$C29="Community food growing",$C29="Woodland",$C29="Shrub", $C29="Water"), "|||"&amp;$C29, (VLOOKUP('Stage 2'!$E$9,Lookups!$C$186:$D$186,2,FALSE)&amp;"|"&amp;$C29&amp;"|"&amp;VLOOKUP('Stage 2'!$E$12,Lookups!$C$200:$D$201,2,FALSE)&amp;"|"&amp;VLOOKUP('Stage 2'!$E$11,Lookups!$C$160:$E$182,3,FALSE)&amp;"|"&amp;VLOOKUP($E$10,Lookups!$C$191:$D$196,2,FALSE)))),Lookups!$H$23:$J$156,3,FALSE),
IFERROR(IFERROR($D29*VLOOKUP($C29&amp;"|"&amp;VLOOKUP('Stage 2'!$E$12,Lookups!$C$200:$D$201,2,FALSE)&amp;"|"&amp;VLOOKUP('Stage 2'!$E$11,Lookups!$C$160:$E$182,3,FALSE)&amp;"|"&amp;VLOOKUP($E$10,Lookups!$C$191:$D$196,2,FALSE),Lookups!$H$23:$J$156,3,FALSE),IFERROR($D29*VLOOKUP($C29&amp;"|"&amp;"TRUE"&amp;"|"&amp;VLOOKUP('Stage 2'!$E$11,Lookups!$C$160:$E$182,3,FALSE)&amp;"|"&amp;VLOOKUP($E$10,Lookups!$C$191:$D$196,2,FALSE),Lookups!$H$23:$J$156,3,FALSE),$D29*VLOOKUP($C29&amp;"|"&amp;VLOOKUP('Stage 2'!$E$12,Lookups!$C$200:$D$201,2,FALSE)&amp;"|"&amp;VLOOKUP('Stage 2'!$E$11,Lookups!$C$160:$E$182,3,FALSE)&amp;"|"&amp;"DrainedArGr",Lookups!$H$23:$J$156,3,FALSE))),IFERROR($D29*VLOOKUP($C29&amp;"|"&amp;VLOOKUP('Stage 2'!$E$11,Lookups!$C$160:$E$182,3,FALSE),Lookups!$K$23:$M$148,3,FALSE),$D29*VLOOKUP($C29,Lookups!$D$23:$O$148,12,FALSE)))))</f>
        <v/>
      </c>
      <c r="F29" s="1"/>
      <c r="G29" s="152"/>
    </row>
    <row r="30" spans="1:10" x14ac:dyDescent="0.25">
      <c r="A30" s="134"/>
      <c r="B30" s="1"/>
      <c r="C30" s="102"/>
      <c r="D30" s="103"/>
      <c r="E30" s="175" t="str">
        <f>IF(OR(ISBLANK($C30),ISBLANK($D30),ISBLANK($E$10),ISBLANK($E$11)),"",IFERROR($D30*VLOOKUP((IF(OR($C30="Residential urban land",$C30="Commercial/industrial urban land",$C30="Open urban land",$C30="Greenspace",$C30="Community food growing",$C30="Woodland",$C30="Shrub", $C30="Water"), "|||"&amp;$C30, (VLOOKUP('Stage 2'!$E$9,Lookups!$C$186:$D$186,2,FALSE)&amp;"|"&amp;$C30&amp;"|"&amp;VLOOKUP('Stage 2'!$E$12,Lookups!$C$200:$D$201,2,FALSE)&amp;"|"&amp;VLOOKUP('Stage 2'!$E$11,Lookups!$C$160:$E$182,3,FALSE)&amp;"|"&amp;VLOOKUP($E$10,Lookups!$C$191:$D$196,2,FALSE)))),Lookups!$H$23:$J$156,3,FALSE),
IFERROR(IFERROR($D30*VLOOKUP($C30&amp;"|"&amp;VLOOKUP('Stage 2'!$E$12,Lookups!$C$200:$D$201,2,FALSE)&amp;"|"&amp;VLOOKUP('Stage 2'!$E$11,Lookups!$C$160:$E$182,3,FALSE)&amp;"|"&amp;VLOOKUP($E$10,Lookups!$C$191:$D$196,2,FALSE),Lookups!$H$23:$J$156,3,FALSE),IFERROR($D30*VLOOKUP($C30&amp;"|"&amp;"TRUE"&amp;"|"&amp;VLOOKUP('Stage 2'!$E$11,Lookups!$C$160:$E$182,3,FALSE)&amp;"|"&amp;VLOOKUP($E$10,Lookups!$C$191:$D$196,2,FALSE),Lookups!$H$23:$J$156,3,FALSE),$D30*VLOOKUP($C30&amp;"|"&amp;VLOOKUP('Stage 2'!$E$12,Lookups!$C$200:$D$201,2,FALSE)&amp;"|"&amp;VLOOKUP('Stage 2'!$E$11,Lookups!$C$160:$E$182,3,FALSE)&amp;"|"&amp;"DrainedArGr",Lookups!$H$23:$J$156,3,FALSE))),IFERROR($D30*VLOOKUP($C30&amp;"|"&amp;VLOOKUP('Stage 2'!$E$11,Lookups!$C$160:$E$182,3,FALSE),Lookups!$K$23:$M$148,3,FALSE),$D30*VLOOKUP($C30,Lookups!$D$23:$O$148,12,FALSE)))))</f>
        <v/>
      </c>
      <c r="F30" s="1"/>
      <c r="G30" s="152"/>
    </row>
    <row r="31" spans="1:10" ht="15.75" thickBot="1" x14ac:dyDescent="0.3">
      <c r="A31" s="134"/>
      <c r="B31" s="1"/>
      <c r="C31" s="102"/>
      <c r="D31" s="104"/>
      <c r="E31" s="116" t="str">
        <f>IF(OR(ISBLANK($C31),ISBLANK($D31),ISBLANK($E$10),ISBLANK($E$11)),"",IFERROR($D31*VLOOKUP((IF(OR($C31="Residential urban land",$C31="Commercial/industrial urban land",$C31="Open urban land",$C31="Greenspace",$C31="Community food growing",$C31="Woodland",$C31="Shrub", $C31="Water"), "|||"&amp;$C31, (VLOOKUP('Stage 2'!$E$9,Lookups!$C$186:$D$186,2,FALSE)&amp;"|"&amp;$C31&amp;"|"&amp;VLOOKUP('Stage 2'!$E$12,Lookups!$C$200:$D$201,2,FALSE)&amp;"|"&amp;VLOOKUP('Stage 2'!$E$11,Lookups!$C$160:$E$182,3,FALSE)&amp;"|"&amp;VLOOKUP($E$10,Lookups!$C$191:$D$196,2,FALSE)))),Lookups!$H$23:$J$156,3,FALSE),
IFERROR(IFERROR($D31*VLOOKUP($C31&amp;"|"&amp;VLOOKUP('Stage 2'!$E$12,Lookups!$C$200:$D$201,2,FALSE)&amp;"|"&amp;VLOOKUP('Stage 2'!$E$11,Lookups!$C$160:$E$182,3,FALSE)&amp;"|"&amp;VLOOKUP($E$10,Lookups!$C$191:$D$196,2,FALSE),Lookups!$H$23:$J$156,3,FALSE),IFERROR($D31*VLOOKUP($C31&amp;"|"&amp;"TRUE"&amp;"|"&amp;VLOOKUP('Stage 2'!$E$11,Lookups!$C$160:$E$182,3,FALSE)&amp;"|"&amp;VLOOKUP($E$10,Lookups!$C$191:$D$196,2,FALSE),Lookups!$H$23:$J$156,3,FALSE),$D31*VLOOKUP($C31&amp;"|"&amp;VLOOKUP('Stage 2'!$E$12,Lookups!$C$200:$D$201,2,FALSE)&amp;"|"&amp;VLOOKUP('Stage 2'!$E$11,Lookups!$C$160:$E$182,3,FALSE)&amp;"|"&amp;"DrainedArGr",Lookups!$H$23:$J$156,3,FALSE))),IFERROR($D31*VLOOKUP($C31&amp;"|"&amp;VLOOKUP('Stage 2'!$E$11,Lookups!$C$160:$E$182,3,FALSE),Lookups!$K$23:$M$148,3,FALSE),$D31*VLOOKUP($C31,Lookups!$D$23:$O$148,12,FALSE)))))</f>
        <v/>
      </c>
      <c r="F31" s="1"/>
      <c r="G31" s="152"/>
    </row>
    <row r="32" spans="1:10" x14ac:dyDescent="0.25">
      <c r="A32" s="134"/>
      <c r="B32" s="1"/>
      <c r="C32" s="73" t="s">
        <v>112</v>
      </c>
      <c r="D32" s="97">
        <f>SUM(D15:D31)</f>
        <v>0</v>
      </c>
      <c r="E32" s="174">
        <f>SUM(E15:E31)</f>
        <v>0</v>
      </c>
      <c r="F32" s="1"/>
      <c r="G32" s="117"/>
    </row>
    <row r="33" spans="1:7" ht="15.75" thickBot="1" x14ac:dyDescent="0.3">
      <c r="A33" s="134"/>
      <c r="B33" s="145"/>
      <c r="C33" s="131"/>
      <c r="D33" s="131"/>
      <c r="E33" s="131"/>
      <c r="F33" s="131"/>
      <c r="G33" s="132"/>
    </row>
    <row r="34" spans="1:7" ht="15.75" thickTop="1" x14ac:dyDescent="0.25"/>
  </sheetData>
  <sheetProtection algorithmName="SHA-512" hashValue="lpGJbD61lIK0/XtKK8xr+SAHBTJnwhalpl18Yas7PyQmFJ45MuS2qJGPzwcThC/9YyWjZN0J4iA0e/8rE3DgzQ==" saltValue="Kc0aedB7zizsqcykxqeaRA=="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232" yWindow="476"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232" yWindow="476"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Lookups!$C$186</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Lookups!$C$164:$C$178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Lookups!$C$200:$C$201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Lookups!$C$191:$C$196</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Lookups!$I$186:$I$198</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GridLines="0" showRowColHeaders="0" zoomScaleNormal="100" workbookViewId="0">
      <selection activeCell="C10" sqref="C10"/>
    </sheetView>
  </sheetViews>
  <sheetFormatPr defaultColWidth="9.140625" defaultRowHeight="15" x14ac:dyDescent="0.25"/>
  <cols>
    <col min="1" max="1" width="9.140625" style="133"/>
    <col min="2" max="2" width="4.7109375" style="133" customWidth="1"/>
    <col min="3" max="3" width="32" style="133" customWidth="1"/>
    <col min="4" max="4" width="12.42578125" style="133" customWidth="1"/>
    <col min="5" max="5" width="19.5703125" style="133" customWidth="1"/>
    <col min="6" max="6" width="18.85546875" style="133" hidden="1" customWidth="1"/>
    <col min="7" max="7" width="4.5703125" style="133" customWidth="1"/>
    <col min="8" max="16384" width="9.140625" style="133"/>
  </cols>
  <sheetData>
    <row r="3" spans="1:9" x14ac:dyDescent="0.25">
      <c r="A3" s="134"/>
      <c r="B3" s="245" t="s">
        <v>113</v>
      </c>
      <c r="C3" s="246"/>
      <c r="D3" s="246"/>
      <c r="E3" s="246"/>
      <c r="F3" s="246"/>
      <c r="G3" s="247"/>
    </row>
    <row r="4" spans="1:9" x14ac:dyDescent="0.25">
      <c r="A4" s="134"/>
      <c r="B4" s="245"/>
      <c r="C4" s="246"/>
      <c r="D4" s="246"/>
      <c r="E4" s="246"/>
      <c r="F4" s="246"/>
      <c r="G4" s="247"/>
    </row>
    <row r="5" spans="1:9" x14ac:dyDescent="0.25">
      <c r="A5" s="134"/>
      <c r="B5" s="245"/>
      <c r="C5" s="246"/>
      <c r="D5" s="246"/>
      <c r="E5" s="246"/>
      <c r="F5" s="246"/>
      <c r="G5" s="247"/>
    </row>
    <row r="6" spans="1:9" ht="17.25" x14ac:dyDescent="0.25">
      <c r="A6" s="134"/>
      <c r="B6" s="1"/>
      <c r="C6" s="1"/>
      <c r="D6" s="1"/>
      <c r="E6" s="1"/>
      <c r="F6" s="1"/>
      <c r="G6" s="143"/>
    </row>
    <row r="7" spans="1:9" ht="18" customHeight="1" x14ac:dyDescent="0.25">
      <c r="A7" s="134"/>
      <c r="B7" s="1"/>
      <c r="C7" s="250" t="s">
        <v>75</v>
      </c>
      <c r="D7" s="250"/>
      <c r="E7" s="250"/>
      <c r="F7" s="250"/>
      <c r="G7" s="142"/>
    </row>
    <row r="8" spans="1:9" x14ac:dyDescent="0.25">
      <c r="A8" s="134"/>
      <c r="B8" s="1"/>
      <c r="C8" s="1"/>
      <c r="D8" s="1"/>
      <c r="E8" s="1"/>
      <c r="F8" s="1"/>
      <c r="G8" s="117"/>
    </row>
    <row r="9" spans="1:9" ht="68.25" customHeight="1" thickBot="1" x14ac:dyDescent="0.3">
      <c r="A9" s="134"/>
      <c r="B9" s="1"/>
      <c r="C9" s="74" t="s">
        <v>114</v>
      </c>
      <c r="D9" s="74" t="s">
        <v>109</v>
      </c>
      <c r="E9" s="72" t="s">
        <v>115</v>
      </c>
      <c r="F9" s="1"/>
      <c r="G9" s="117"/>
    </row>
    <row r="10" spans="1:9" x14ac:dyDescent="0.25">
      <c r="A10" s="134"/>
      <c r="B10" s="1"/>
      <c r="C10" s="102" t="s">
        <v>116</v>
      </c>
      <c r="D10" s="111"/>
      <c r="E10" s="175" t="str">
        <f>IF(OR(ISBLANK(C10),ISBLANK(D10)),"",D10*VLOOKUP((IF(OR(C10="Residential urban land",C10="Commercial/industrial urban land",C10="Open urban land",C10="Greenspace",C10="Community food growing",C10="Woodland",C10="Shrub", C10="Water"), "|||"&amp;C10, (VLOOKUP('Stage 2'!$E$9,Lookups!$C$186:$D$186,2,FALSE)&amp;"|"&amp;C10&amp;"|"&amp;VLOOKUP('Stage 2'!$E$12,Lookups!$C$200:$D$201,2,FALSE)&amp;"|"&amp;VLOOKUP('Stage 2'!$E$11,Lookups!$C$160:$E$182,3,FALSE)&amp;"|"&amp;VLOOKUP('Stage 2'!$E$10,Lookups!$C$191:$E$196,2,FALSE)))),Lookups!$H$23:$J$156,3,FALSE))</f>
        <v/>
      </c>
      <c r="F10" s="1"/>
      <c r="G10" s="117"/>
    </row>
    <row r="11" spans="1:9" x14ac:dyDescent="0.25">
      <c r="A11" s="134"/>
      <c r="B11" s="1"/>
      <c r="C11" s="102"/>
      <c r="D11" s="111"/>
      <c r="E11" s="175" t="str">
        <f>IF(OR(ISBLANK(C11),ISBLANK(D11)),"",D11*VLOOKUP((IF(OR(C11="Residential urban land",C11="Commercial/industrial urban land",C11="Open urban land",C11="Greenspace",C11="Community food growing",C11="Woodland",C11="Shrub", C11="Water"), "|||"&amp;C11, (VLOOKUP('Stage 2'!$E$9,Lookups!$C$186:$D$186,2,FALSE)&amp;"|"&amp;C11&amp;"|"&amp;VLOOKUP('Stage 2'!$E$12,Lookups!$C$200:$D$201,2,FALSE)&amp;"|"&amp;VLOOKUP('Stage 2'!$E$11,Lookups!$C$160:$E$182,3,FALSE)&amp;"|"&amp;VLOOKUP('Stage 2'!$E$10,Lookups!$C$191:$E$196,2,FALSE)))),Lookups!$H$23:$J$156,3,FALSE))</f>
        <v/>
      </c>
      <c r="F11" s="1"/>
      <c r="G11" s="117"/>
    </row>
    <row r="12" spans="1:9" x14ac:dyDescent="0.25">
      <c r="A12" s="134"/>
      <c r="B12" s="1"/>
      <c r="C12" s="102"/>
      <c r="D12" s="111"/>
      <c r="E12" s="175" t="str">
        <f>IF(OR(ISBLANK(C12),ISBLANK(D12)),"",D12*VLOOKUP((IF(OR(C12="Residential urban land",C12="Commercial/industrial urban land",C12="Open urban land",C12="Greenspace",C12="Community food growing",C12="Woodland",C12="Shrub", C12="Water"), "|||"&amp;C12, (VLOOKUP('Stage 2'!$E$9,Lookups!$C$186:$D$186,2,FALSE)&amp;"|"&amp;C12&amp;"|"&amp;VLOOKUP('Stage 2'!$E$12,Lookups!$C$200:$D$201,2,FALSE)&amp;"|"&amp;VLOOKUP('Stage 2'!$E$11,Lookups!$C$160:$E$182,3,FALSE)&amp;"|"&amp;VLOOKUP('Stage 2'!$E$10,Lookups!$C$191:$E$196,2,FALSE)))),Lookups!$H$23:$J$156,3,FALSE))</f>
        <v/>
      </c>
      <c r="F12" s="1"/>
      <c r="G12" s="117"/>
    </row>
    <row r="13" spans="1:9" x14ac:dyDescent="0.25">
      <c r="A13" s="134"/>
      <c r="B13" s="1"/>
      <c r="C13" s="102"/>
      <c r="D13" s="111"/>
      <c r="E13" s="175" t="str">
        <f>IF(OR(ISBLANK(C13),ISBLANK(D13)),"",D13*VLOOKUP((IF(OR(C13="Residential urban land",C13="Commercial/industrial urban land",C13="Open urban land",C13="Greenspace",C13="Community food growing",C13="Woodland",C13="Shrub", C13="Water"), "|||"&amp;C13, (VLOOKUP('Stage 2'!$E$9,Lookups!$C$186:$D$186,2,FALSE)&amp;"|"&amp;C13&amp;"|"&amp;VLOOKUP('Stage 2'!$E$12,Lookups!$C$200:$D$201,2,FALSE)&amp;"|"&amp;VLOOKUP('Stage 2'!$E$11,Lookups!$C$160:$E$182,3,FALSE)&amp;"|"&amp;VLOOKUP('Stage 2'!$E$10,Lookups!$C$191:$E$196,2,FALSE)))),Lookups!$H$23:$J$156,3,FALSE))</f>
        <v/>
      </c>
      <c r="F13" s="1"/>
      <c r="G13" s="117"/>
    </row>
    <row r="14" spans="1:9" x14ac:dyDescent="0.25">
      <c r="A14" s="134"/>
      <c r="B14" s="1"/>
      <c r="C14" s="102"/>
      <c r="D14" s="111"/>
      <c r="E14" s="175" t="str">
        <f>IF(OR(ISBLANK(C14),ISBLANK(D14)),"",D14*VLOOKUP((IF(OR(C14="Residential urban land",C14="Commercial/industrial urban land",C14="Open urban land",C14="Greenspace",C14="Community food growing",C14="Woodland",C14="Shrub", C14="Water"), "|||"&amp;C14, (VLOOKUP('Stage 2'!$E$9,Lookups!$C$186:$D$186,2,FALSE)&amp;"|"&amp;C14&amp;"|"&amp;VLOOKUP('Stage 2'!$E$12,Lookups!$C$200:$D$201,2,FALSE)&amp;"|"&amp;VLOOKUP('Stage 2'!$E$11,Lookups!$C$160:$E$182,3,FALSE)&amp;"|"&amp;VLOOKUP('Stage 2'!$E$10,Lookups!$C$191:$E$196,2,FALSE)))),Lookups!$H$23:$J$156,3,FALSE))</f>
        <v/>
      </c>
      <c r="F14" s="1"/>
      <c r="G14" s="117"/>
    </row>
    <row r="15" spans="1:9" x14ac:dyDescent="0.25">
      <c r="A15" s="134"/>
      <c r="B15" s="1"/>
      <c r="C15" s="102"/>
      <c r="D15" s="111"/>
      <c r="E15" s="175" t="str">
        <f>IF(OR(ISBLANK(C15),ISBLANK(D15)),"",D15*VLOOKUP((IF(OR(C15="Residential urban land",C15="Commercial/industrial urban land",C15="Open urban land",C15="Greenspace",C15="Community food growing",C15="Woodland",C15="Shrub", C15="Water"), "|||"&amp;C15, (VLOOKUP('Stage 2'!$E$9,Lookups!$C$186:$D$186,2,FALSE)&amp;"|"&amp;C15&amp;"|"&amp;VLOOKUP('Stage 2'!$E$12,Lookups!$C$200:$D$201,2,FALSE)&amp;"|"&amp;VLOOKUP('Stage 2'!$E$11,Lookups!$C$160:$E$182,3,FALSE)&amp;"|"&amp;VLOOKUP('Stage 2'!$E$10,Lookups!$C$191:$E$196,2,FALSE)))),Lookups!$H$23:$J$156,3,FALSE))</f>
        <v/>
      </c>
      <c r="F15" s="1"/>
      <c r="G15" s="117"/>
      <c r="I15" s="160"/>
    </row>
    <row r="16" spans="1:9" x14ac:dyDescent="0.25">
      <c r="A16" s="134"/>
      <c r="B16" s="1"/>
      <c r="C16" s="102"/>
      <c r="D16" s="111"/>
      <c r="E16" s="175" t="str">
        <f>IF(OR(ISBLANK(C16),ISBLANK(D16)),"",D16*VLOOKUP((IF(OR(C16="Residential urban land",C16="Commercial/industrial urban land",C16="Open urban land",C16="Greenspace",C16="Community food growing",C16="Woodland",C16="Shrub", C16="Water"), "|||"&amp;C16, (VLOOKUP('Stage 2'!$E$9,Lookups!$C$186:$D$186,2,FALSE)&amp;"|"&amp;C16&amp;"|"&amp;VLOOKUP('Stage 2'!$E$12,Lookups!$C$200:$D$201,2,FALSE)&amp;"|"&amp;VLOOKUP('Stage 2'!$E$11,Lookups!$C$160:$E$182,3,FALSE)&amp;"|"&amp;VLOOKUP('Stage 2'!$E$10,Lookups!$C$191:$E$196,2,FALSE)))),Lookups!$H$23:$J$156,3,FALSE))</f>
        <v/>
      </c>
      <c r="F16" s="1"/>
      <c r="G16" s="117"/>
    </row>
    <row r="17" spans="1:7" x14ac:dyDescent="0.25">
      <c r="A17" s="134"/>
      <c r="B17" s="1"/>
      <c r="C17" s="102"/>
      <c r="D17" s="111"/>
      <c r="E17" s="175" t="str">
        <f>IF(OR(ISBLANK(C17),ISBLANK(D17)),"",D17*VLOOKUP((IF(OR(C17="Residential urban land",C17="Commercial/industrial urban land",C17="Open urban land",C17="Greenspace",C17="Community food growing",C17="Woodland",C17="Shrub", C17="Water"), "|||"&amp;C17, (VLOOKUP('Stage 2'!$E$9,Lookups!$C$186:$D$186,2,FALSE)&amp;"|"&amp;C17&amp;"|"&amp;VLOOKUP('Stage 2'!$E$12,Lookups!$C$200:$D$201,2,FALSE)&amp;"|"&amp;VLOOKUP('Stage 2'!$E$11,Lookups!$C$160:$E$182,3,FALSE)&amp;"|"&amp;VLOOKUP('Stage 2'!$E$10,Lookups!$C$191:$E$196,2,FALSE)))),Lookups!$H$23:$J$156,3,FALSE))</f>
        <v/>
      </c>
      <c r="F17" s="1"/>
      <c r="G17" s="117"/>
    </row>
    <row r="18" spans="1:7" x14ac:dyDescent="0.25">
      <c r="A18" s="134"/>
      <c r="B18" s="1"/>
      <c r="C18" s="102"/>
      <c r="D18" s="112"/>
      <c r="E18" s="175" t="str">
        <f>IF(OR(ISBLANK(C18),ISBLANK(D18)),"",D18*VLOOKUP((IF(OR(C18="Residential urban land",C18="Commercial/industrial urban land",C18="Open urban land",C18="Greenspace",C18="Community food growing",C18="Woodland",C18="Shrub", C18="Water"), "|||"&amp;C18, (VLOOKUP('Stage 2'!$E$9,Lookups!$C$186:$D$186,2,FALSE)&amp;"|"&amp;C18&amp;"|"&amp;VLOOKUP('Stage 2'!$E$12,Lookups!$C$200:$D$201,2,FALSE)&amp;"|"&amp;VLOOKUP('Stage 2'!$E$11,Lookups!$C$160:$E$182,3,FALSE)&amp;"|"&amp;VLOOKUP('Stage 2'!$E$10,Lookups!$C$191:$E$196,2,FALSE)))),Lookups!$H$23:$J$156,3,FALSE))</f>
        <v/>
      </c>
      <c r="F18" s="1"/>
      <c r="G18" s="117"/>
    </row>
    <row r="19" spans="1:7" x14ac:dyDescent="0.25">
      <c r="A19" s="134"/>
      <c r="B19" s="1"/>
      <c r="C19" s="102"/>
      <c r="D19" s="112"/>
      <c r="E19" s="175" t="str">
        <f>IF(OR(ISBLANK(C19),ISBLANK(D19)),"",D19*VLOOKUP((IF(OR(C19="Residential urban land",C19="Commercial/industrial urban land",C19="Open urban land",C19="Greenspace",C19="Community food growing",C19="Woodland",C19="Shrub", C19="Water"), "|||"&amp;C19, (VLOOKUP('Stage 2'!$E$9,Lookups!$C$186:$D$186,2,FALSE)&amp;"|"&amp;C19&amp;"|"&amp;VLOOKUP('Stage 2'!$E$12,Lookups!$C$200:$D$201,2,FALSE)&amp;"|"&amp;VLOOKUP('Stage 2'!$E$11,Lookups!$C$160:$E$182,3,FALSE)&amp;"|"&amp;VLOOKUP('Stage 2'!$E$10,Lookups!$C$191:$E$196,2,FALSE)))),Lookups!$H$23:$J$156,3,FALSE))</f>
        <v/>
      </c>
      <c r="F19" s="1"/>
      <c r="G19" s="117"/>
    </row>
    <row r="20" spans="1:7" x14ac:dyDescent="0.25">
      <c r="A20" s="134"/>
      <c r="B20" s="1"/>
      <c r="C20" s="102"/>
      <c r="D20" s="112"/>
      <c r="E20" s="175" t="str">
        <f>IF(OR(ISBLANK(C20),ISBLANK(D20)),"",D20*VLOOKUP((IF(OR(C20="Residential urban land",C20="Commercial/industrial urban land",C20="Open urban land",C20="Greenspace",C20="Community food growing",C20="Woodland",C20="Shrub", C20="Water"), "|||"&amp;C20, (VLOOKUP('Stage 2'!$E$9,Lookups!$C$186:$D$186,2,FALSE)&amp;"|"&amp;C20&amp;"|"&amp;VLOOKUP('Stage 2'!$E$12,Lookups!$C$200:$D$201,2,FALSE)&amp;"|"&amp;VLOOKUP('Stage 2'!$E$11,Lookups!$C$160:$E$182,3,FALSE)&amp;"|"&amp;VLOOKUP('Stage 2'!$E$10,Lookups!$C$191:$E$196,2,FALSE)))),Lookups!$H$23:$J$156,3,FALSE))</f>
        <v/>
      </c>
      <c r="F20" s="1"/>
      <c r="G20" s="117"/>
    </row>
    <row r="21" spans="1:7" x14ac:dyDescent="0.25">
      <c r="A21" s="134"/>
      <c r="B21" s="1"/>
      <c r="C21" s="102"/>
      <c r="D21" s="112"/>
      <c r="E21" s="175" t="str">
        <f>IF(OR(ISBLANK(C21),ISBLANK(D21)),"",D21*VLOOKUP((IF(OR(C21="Residential urban land",C21="Commercial/industrial urban land",C21="Open urban land",C21="Greenspace",C21="Community food growing",C21="Woodland",C21="Shrub", C21="Water"), "|||"&amp;C21, (VLOOKUP('Stage 2'!$E$9,Lookups!$C$186:$D$186,2,FALSE)&amp;"|"&amp;C21&amp;"|"&amp;VLOOKUP('Stage 2'!$E$12,Lookups!$C$200:$D$201,2,FALSE)&amp;"|"&amp;VLOOKUP('Stage 2'!$E$11,Lookups!$C$160:$E$182,3,FALSE)&amp;"|"&amp;VLOOKUP('Stage 2'!$E$10,Lookups!$C$191:$E$196,2,FALSE)))),Lookups!$H$23:$J$156,3,FALSE))</f>
        <v/>
      </c>
      <c r="F21" s="1"/>
      <c r="G21" s="117"/>
    </row>
    <row r="22" spans="1:7" x14ac:dyDescent="0.25">
      <c r="A22" s="134"/>
      <c r="B22" s="1"/>
      <c r="C22" s="102"/>
      <c r="D22" s="112"/>
      <c r="E22" s="175" t="str">
        <f>IF(OR(ISBLANK(C22),ISBLANK(D22)),"",D22*VLOOKUP((IF(OR(C22="Residential urban land",C22="Commercial/industrial urban land",C22="Open urban land",C22="Greenspace",C22="Community food growing",C22="Woodland",C22="Shrub", C22="Water"), "|||"&amp;C22, (VLOOKUP('Stage 2'!$E$9,Lookups!$C$186:$D$186,2,FALSE)&amp;"|"&amp;C22&amp;"|"&amp;VLOOKUP('Stage 2'!$E$12,Lookups!$C$200:$D$201,2,FALSE)&amp;"|"&amp;VLOOKUP('Stage 2'!$E$11,Lookups!$C$160:$E$182,3,FALSE)&amp;"|"&amp;VLOOKUP('Stage 2'!$E$10,Lookups!$C$191:$E$196,2,FALSE)))),Lookups!$H$23:$J$156,3,FALSE))</f>
        <v/>
      </c>
      <c r="F22" s="1"/>
      <c r="G22" s="117"/>
    </row>
    <row r="23" spans="1:7" x14ac:dyDescent="0.25">
      <c r="A23" s="134"/>
      <c r="B23" s="1"/>
      <c r="C23" s="102"/>
      <c r="D23" s="113"/>
      <c r="E23" s="175" t="str">
        <f>IF(OR(ISBLANK(C23),ISBLANK(D23)),"",D23*VLOOKUP((IF(OR(C23="Residential urban land",C23="Commercial/industrial urban land",C23="Open urban land",C23="Greenspace",C23="Community food growing",C23="Woodland",C23="Shrub", C23="Water"), "|||"&amp;C23, (VLOOKUP('Stage 2'!$E$9,Lookups!$C$186:$D$186,2,FALSE)&amp;"|"&amp;C23&amp;"|"&amp;VLOOKUP('Stage 2'!$E$12,Lookups!$C$200:$D$201,2,FALSE)&amp;"|"&amp;VLOOKUP('Stage 2'!$E$11,Lookups!$C$160:$E$182,3,FALSE)&amp;"|"&amp;VLOOKUP('Stage 2'!$E$10,Lookups!$C$191:$E$196,2,FALSE)))),Lookups!$H$23:$J$156,3,FALSE))</f>
        <v/>
      </c>
      <c r="F23" s="1"/>
      <c r="G23" s="117"/>
    </row>
    <row r="24" spans="1:7" x14ac:dyDescent="0.25">
      <c r="A24" s="134"/>
      <c r="B24" s="1"/>
      <c r="C24" s="102"/>
      <c r="D24" s="111"/>
      <c r="E24" s="175" t="str">
        <f>IF(OR(ISBLANK(C24),ISBLANK(D24)),"",D24*VLOOKUP((IF(OR(C24="Residential urban land",C24="Commercial/industrial urban land",C24="Open urban land",C24="Greenspace",C24="Community food growing",C24="Woodland",C24="Shrub", C24="Water"), "|||"&amp;C24, (VLOOKUP('Stage 2'!$E$9,Lookups!$C$186:$D$186,2,FALSE)&amp;"|"&amp;C24&amp;"|"&amp;VLOOKUP('Stage 2'!$E$12,Lookups!$C$200:$D$201,2,FALSE)&amp;"|"&amp;VLOOKUP('Stage 2'!$E$11,Lookups!$C$160:$E$182,3,FALSE)&amp;"|"&amp;VLOOKUP('Stage 2'!$E$10,Lookups!$C$191:$E$196,2,FALSE)))),Lookups!$H$23:$J$156,3,FALSE))</f>
        <v/>
      </c>
      <c r="F24" s="1"/>
      <c r="G24" s="117"/>
    </row>
    <row r="25" spans="1:7" x14ac:dyDescent="0.25">
      <c r="A25" s="134"/>
      <c r="B25" s="1"/>
      <c r="C25" s="102"/>
      <c r="D25" s="111"/>
      <c r="E25" s="175" t="str">
        <f>IF(OR(ISBLANK(C25),ISBLANK(D25)),"",D25*VLOOKUP((IF(OR(C25="Residential urban land",C25="Commercial/industrial urban land",C25="Open urban land",C25="Greenspace",C25="Community food growing",C25="Woodland",C25="Shrub", C25="Water"), "|||"&amp;C25, (VLOOKUP('Stage 2'!$E$9,Lookups!$C$186:$D$186,2,FALSE)&amp;"|"&amp;C25&amp;"|"&amp;VLOOKUP('Stage 2'!$E$12,Lookups!$C$200:$D$201,2,FALSE)&amp;"|"&amp;VLOOKUP('Stage 2'!$E$11,Lookups!$C$160:$E$182,3,FALSE)&amp;"|"&amp;VLOOKUP('Stage 2'!$E$10,Lookups!$C$191:$E$196,2,FALSE)))),Lookups!$H$23:$J$156,3,FALSE))</f>
        <v/>
      </c>
      <c r="F25" s="1"/>
      <c r="G25" s="117"/>
    </row>
    <row r="26" spans="1:7" ht="15.75" thickBot="1" x14ac:dyDescent="0.3">
      <c r="A26" s="134"/>
      <c r="B26" s="1"/>
      <c r="C26" s="114"/>
      <c r="D26" s="115"/>
      <c r="E26" s="205" t="str">
        <f>IF(OR(ISBLANK(C26),ISBLANK(D26)),"",D26*VLOOKUP((IF(OR(C26="Residential urban land",C26="Commercial/industrial urban land",C26="Open urban land",C26="Greenspace",C26="Community food growing",C26="Woodland",C26="Shrub", C26="Water"), "|||"&amp;C26, (VLOOKUP('Stage 2'!$E$9,Lookups!$C$186:$D$186,2,FALSE)&amp;"|"&amp;C26&amp;"|"&amp;VLOOKUP('Stage 2'!$E$12,Lookups!$C$200:$D$201,2,FALSE)&amp;"|"&amp;VLOOKUP('Stage 2'!$E$11,Lookups!$C$160:$E$182,3,FALSE)&amp;"|"&amp;VLOOKUP('Stage 2'!$E$10,Lookups!$C$191:$E$196,2,FALSE)))),Lookups!$H$23:$J$156,3,FALSE))</f>
        <v/>
      </c>
      <c r="F26" s="1"/>
      <c r="G26" s="117"/>
    </row>
    <row r="27" spans="1:7" x14ac:dyDescent="0.25">
      <c r="A27" s="134"/>
      <c r="B27" s="1"/>
      <c r="C27" s="69" t="s">
        <v>112</v>
      </c>
      <c r="D27" s="126">
        <f>SUM(D10:D26)</f>
        <v>0</v>
      </c>
      <c r="E27" s="98">
        <f>SUM(E10:E26)</f>
        <v>0</v>
      </c>
      <c r="F27" s="1"/>
      <c r="G27" s="117"/>
    </row>
    <row r="28" spans="1:7" ht="15.75" thickBot="1" x14ac:dyDescent="0.3">
      <c r="A28" s="134"/>
      <c r="B28" s="145"/>
      <c r="C28" s="131"/>
      <c r="D28" s="131"/>
      <c r="E28" s="131"/>
      <c r="F28" s="131"/>
      <c r="G28" s="132"/>
    </row>
    <row r="29" spans="1:7" ht="15.75" thickTop="1" x14ac:dyDescent="0.25"/>
  </sheetData>
  <sheetProtection algorithmName="SHA-512" hashValue="X8RBiPcGSjjCEolnqpnjN10gnrWc74KZceIjXGMsk/j21QxRqi2bn7mBmrkXGwxAU5LF7kqdg5wxp4/mRq1YLw==" saltValue="dMQWkS5IRo/nEMlWm5dQEg==" spinCount="100000" sheet="1" objects="1" scenarios="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Lookups!$G$195:$G$202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GridLines="0" showRowColHeaders="0" zoomScaleNormal="100" workbookViewId="0"/>
  </sheetViews>
  <sheetFormatPr defaultColWidth="9.140625" defaultRowHeight="15" x14ac:dyDescent="0.25"/>
  <cols>
    <col min="1" max="1" width="9.140625" style="133"/>
    <col min="2" max="2" width="4.85546875" style="133" customWidth="1"/>
    <col min="3" max="3" width="30.42578125" style="133" customWidth="1"/>
    <col min="4" max="4" width="26.85546875" style="133" customWidth="1"/>
    <col min="5" max="5" width="9.140625" style="133"/>
    <col min="6" max="6" width="22.140625" style="133" customWidth="1"/>
    <col min="7" max="7" width="23.28515625" style="133" customWidth="1"/>
    <col min="8" max="10" width="9.140625" style="133"/>
    <col min="11" max="11" width="7.140625" style="133" customWidth="1"/>
    <col min="12" max="16384" width="9.140625" style="133"/>
  </cols>
  <sheetData>
    <row r="2" spans="2:12" ht="15.75" thickBot="1" x14ac:dyDescent="0.3"/>
    <row r="3" spans="2:12" ht="15.75" thickTop="1" x14ac:dyDescent="0.25">
      <c r="B3" s="255" t="s">
        <v>117</v>
      </c>
      <c r="C3" s="256"/>
      <c r="D3" s="256"/>
      <c r="E3" s="256"/>
      <c r="F3" s="256"/>
      <c r="G3" s="256"/>
      <c r="H3" s="257"/>
    </row>
    <row r="4" spans="2:12" x14ac:dyDescent="0.25">
      <c r="B4" s="245"/>
      <c r="C4" s="246"/>
      <c r="D4" s="246"/>
      <c r="E4" s="246"/>
      <c r="F4" s="246"/>
      <c r="G4" s="246"/>
      <c r="H4" s="247"/>
    </row>
    <row r="5" spans="2:12" x14ac:dyDescent="0.25">
      <c r="B5" s="245"/>
      <c r="C5" s="246"/>
      <c r="D5" s="246"/>
      <c r="E5" s="246"/>
      <c r="F5" s="246"/>
      <c r="G5" s="246"/>
      <c r="H5" s="247"/>
    </row>
    <row r="6" spans="2:12" ht="17.25" x14ac:dyDescent="0.25">
      <c r="B6" s="128"/>
      <c r="C6" s="1"/>
      <c r="D6" s="1"/>
      <c r="E6" s="1"/>
      <c r="F6" s="1"/>
      <c r="G6" s="1"/>
      <c r="H6" s="117"/>
      <c r="L6" s="137"/>
    </row>
    <row r="7" spans="2:12" ht="18" x14ac:dyDescent="0.25">
      <c r="B7" s="128"/>
      <c r="C7" s="254" t="s">
        <v>118</v>
      </c>
      <c r="D7" s="254"/>
      <c r="E7" s="1"/>
      <c r="F7" s="1"/>
      <c r="G7" s="1"/>
      <c r="H7" s="117"/>
      <c r="L7" s="137"/>
    </row>
    <row r="8" spans="2:12" ht="18" hidden="1" customHeight="1" x14ac:dyDescent="0.35">
      <c r="B8" s="128"/>
      <c r="C8" s="1"/>
      <c r="D8" s="1"/>
      <c r="E8" s="1"/>
      <c r="F8" s="1"/>
      <c r="G8" s="1"/>
      <c r="H8" s="161"/>
      <c r="I8" s="164"/>
      <c r="J8" s="165"/>
      <c r="L8" s="139"/>
    </row>
    <row r="9" spans="2:12" ht="12" hidden="1" customHeight="1" x14ac:dyDescent="0.35">
      <c r="B9" s="128"/>
      <c r="C9" s="1"/>
      <c r="D9" s="1"/>
      <c r="E9" s="1"/>
      <c r="F9" s="1"/>
      <c r="G9" s="1"/>
      <c r="H9" s="162"/>
      <c r="I9" s="166"/>
      <c r="J9" s="167"/>
      <c r="L9" s="139"/>
    </row>
    <row r="10" spans="2:12" ht="18" hidden="1" thickBot="1" x14ac:dyDescent="0.4">
      <c r="B10" s="128"/>
      <c r="C10" s="66" t="s">
        <v>119</v>
      </c>
      <c r="D10" s="93" t="str">
        <f>'Stage 1'!D29</f>
        <v/>
      </c>
      <c r="E10" s="22"/>
      <c r="F10" s="1"/>
      <c r="G10" s="1"/>
      <c r="H10" s="162"/>
      <c r="I10" s="166"/>
      <c r="J10" s="167"/>
      <c r="L10" s="139"/>
    </row>
    <row r="11" spans="2:12" ht="21" hidden="1" customHeight="1" thickBot="1" x14ac:dyDescent="0.4">
      <c r="B11" s="128"/>
      <c r="C11" s="67" t="s">
        <v>120</v>
      </c>
      <c r="D11" s="94" t="e">
        <f>'Stage 3'!#REF!-'Stage 2'!#REF!</f>
        <v>#REF!</v>
      </c>
      <c r="E11" s="24"/>
      <c r="F11" s="1"/>
      <c r="G11" s="1"/>
      <c r="H11" s="162"/>
      <c r="I11" s="168"/>
      <c r="J11" s="167"/>
      <c r="K11" s="137"/>
      <c r="L11" s="140"/>
    </row>
    <row r="12" spans="2:12" ht="18" hidden="1" thickBot="1" x14ac:dyDescent="0.3">
      <c r="B12" s="128"/>
      <c r="C12" s="67" t="s">
        <v>121</v>
      </c>
      <c r="D12" s="63" t="e">
        <f>D10+D11</f>
        <v>#VALUE!</v>
      </c>
      <c r="E12" s="25"/>
      <c r="F12" s="1"/>
      <c r="G12" s="1"/>
      <c r="H12" s="142"/>
      <c r="I12" s="169"/>
      <c r="J12" s="139"/>
      <c r="K12" s="139"/>
      <c r="L12" s="140"/>
    </row>
    <row r="13" spans="2:12" ht="29.25" hidden="1" customHeight="1" x14ac:dyDescent="0.25">
      <c r="B13" s="128"/>
      <c r="C13" s="15" t="s">
        <v>122</v>
      </c>
      <c r="D13" s="95" t="e">
        <f>D12*1.2</f>
        <v>#VALUE!</v>
      </c>
      <c r="E13" s="26"/>
      <c r="F13" s="1"/>
      <c r="G13" s="1"/>
      <c r="H13" s="144"/>
      <c r="I13" s="170"/>
      <c r="J13" s="140"/>
      <c r="K13" s="140"/>
    </row>
    <row r="14" spans="2:12" ht="11.25" hidden="1" customHeight="1" x14ac:dyDescent="0.25">
      <c r="B14" s="128"/>
      <c r="C14" s="22"/>
      <c r="D14" s="163"/>
      <c r="E14" s="22"/>
      <c r="F14" s="1"/>
      <c r="G14" s="1"/>
      <c r="H14" s="117"/>
    </row>
    <row r="15" spans="2:12" hidden="1" x14ac:dyDescent="0.25">
      <c r="B15" s="128"/>
      <c r="C15" s="22"/>
      <c r="D15" s="163"/>
      <c r="E15" s="22"/>
      <c r="F15" s="1"/>
      <c r="G15" s="1"/>
      <c r="H15" s="117"/>
    </row>
    <row r="16" spans="2:12" ht="15.75" hidden="1" thickBot="1" x14ac:dyDescent="0.3">
      <c r="B16" s="128"/>
      <c r="C16" s="66" t="s">
        <v>123</v>
      </c>
      <c r="D16" s="93" t="str">
        <f>'Stage 1'!D34</f>
        <v/>
      </c>
      <c r="E16" s="22"/>
      <c r="F16" s="1"/>
      <c r="G16" s="1"/>
      <c r="H16" s="117"/>
    </row>
    <row r="17" spans="2:8" ht="15.75" hidden="1" thickBot="1" x14ac:dyDescent="0.3">
      <c r="B17" s="128"/>
      <c r="C17" s="67" t="s">
        <v>124</v>
      </c>
      <c r="D17" s="96">
        <f>'Stage 3'!E27-'Stage 2'!E32</f>
        <v>0</v>
      </c>
      <c r="E17" s="22"/>
      <c r="F17" s="1"/>
      <c r="G17" s="1"/>
      <c r="H17" s="117"/>
    </row>
    <row r="18" spans="2:8" ht="15.75" hidden="1" thickBot="1" x14ac:dyDescent="0.3">
      <c r="B18" s="128"/>
      <c r="C18" s="65" t="s">
        <v>125</v>
      </c>
      <c r="D18" s="83" t="e">
        <f>D16+D17</f>
        <v>#VALUE!</v>
      </c>
      <c r="E18" s="18"/>
      <c r="F18" s="1"/>
      <c r="G18" s="1"/>
      <c r="H18" s="117"/>
    </row>
    <row r="19" spans="2:8" hidden="1" x14ac:dyDescent="0.25">
      <c r="B19" s="128"/>
      <c r="C19" s="15" t="s">
        <v>126</v>
      </c>
      <c r="D19" s="95" t="e">
        <f>D18*1.2</f>
        <v>#VALUE!</v>
      </c>
      <c r="E19" s="18"/>
      <c r="F19" s="1"/>
      <c r="G19" s="1"/>
      <c r="H19" s="117"/>
    </row>
    <row r="20" spans="2:8" ht="17.25" hidden="1" x14ac:dyDescent="0.25">
      <c r="B20" s="128"/>
      <c r="C20" s="9"/>
      <c r="D20" s="11"/>
      <c r="E20" s="12"/>
      <c r="F20" s="1"/>
      <c r="G20" s="1"/>
      <c r="H20" s="117"/>
    </row>
    <row r="21" spans="2:8" ht="19.5" customHeight="1" x14ac:dyDescent="0.25">
      <c r="B21" s="128"/>
      <c r="C21" s="258" t="str">
        <f>IFERROR(IF(AND('Stage 1'!$D$9&lt;DATE(2025,1,1),OR((VLOOKUP('Stage 1'!$D$13,Lookups!$C$8:$G$17,2,FALSE))&gt;(VLOOKUP('Stage 1'!$D$13,Lookups!$C$8:$G$17,4,FALSE)),(VLOOKUP('Stage 1'!$D$13,Lookups!$C$8:$G$17,3,FALSE))&gt;(VLOOKUP('Stage 1'!$D$13,Lookups!$C$8:$G$17,5,FALSE)))),"Post-2025 Annual Nutrient Budget","Annual Nutrient Budget"),"")</f>
        <v/>
      </c>
      <c r="D21" s="258"/>
      <c r="E21" s="12"/>
      <c r="F21" s="258" t="str">
        <f>IFERROR(IF(AND('Stage 1'!$D$9&lt;DATE(2025,1,1),OR((VLOOKUP('Stage 1'!$D$13,Lookups!$C$8:$G$17,2,FALSE))&gt;(VLOOKUP('Stage 1'!$D$13,Lookups!$C$8:$G$17,4,FALSE)),(VLOOKUP('Stage 1'!$D$13,Lookups!$C$8:$G$17,3,FALSE))&gt;(VLOOKUP('Stage 1'!$D$13,Lookups!$C$8:$G$17,5,FALSE)))),"Pre-2025 Annual Nutrient Budget",""),"")</f>
        <v/>
      </c>
      <c r="G21" s="258"/>
      <c r="H21" s="117"/>
    </row>
    <row r="22" spans="2:8" ht="15" hidden="1" customHeight="1" x14ac:dyDescent="0.25">
      <c r="B22" s="128"/>
      <c r="C22" s="259" t="s">
        <v>127</v>
      </c>
      <c r="D22" s="261" t="e">
        <f>IF(ROUND(D13,2)&lt;0,0&amp;" kg TP/year",ROUND(D13,2)&amp;" kg TP/year")</f>
        <v>#VALUE!</v>
      </c>
      <c r="E22" s="1"/>
      <c r="F22" s="259" t="str">
        <f>IFERROR(IF(AND('Stage 1'!$D$9&lt;DATE(2025,1,1),OR((VLOOKUP('Stage 1'!$D$13,Lookups!$C$8:$G$17,2,FALSE))&gt;(VLOOKUP('Stage 1'!$D$13,Lookups!$C$8:$G$17,4,FALSE)),(VLOOKUP('Stage 1'!$D$13,Lookups!$C$8:$G$17,3,FALSE))&gt;(VLOOKUP('Stage 1'!$D$13,Lookups!$C$8:$G$17,5,FALSE)))),"The pre-2025 annual phosphorus load to mitigate is:",""),"")</f>
        <v/>
      </c>
      <c r="G22" s="260" t="str">
        <f>IFERROR(IF(AND('Stage 1'!$D$9&lt;DATE(2025,1,1),OR((VLOOKUP('Stage 1'!$D$13,Lookups!$C$8:$G$17,2,FALSE))&gt;(VLOOKUP('Stage 1'!$D$13,Lookups!$C$8:$G$17,4,FALSE)),(VLOOKUP('Stage 1'!$D$13,Lookups!$C$8:$G$17,3,FALSE))&gt;(VLOOKUP('Stage 1'!$D$13,Lookups!$C$8:$G$17,5,FALSE)))),IF(ROUND(('Stage 3'!#REF!-'Stage 2'!#REF!+'Stage 1'!#REF!)*1.2,2)&lt;0,0&amp;" kg TP/year",ROUND(('Stage 3'!#REF!-'Stage 2'!#REF!+'Stage 1'!#REF!)*1.2,2)&amp;" kg TP/year"),""),"")</f>
        <v/>
      </c>
      <c r="H22" s="117"/>
    </row>
    <row r="23" spans="2:8" ht="15" hidden="1" customHeight="1" x14ac:dyDescent="0.25">
      <c r="B23" s="128"/>
      <c r="C23" s="259"/>
      <c r="D23" s="261"/>
      <c r="E23" s="1"/>
      <c r="F23" s="259"/>
      <c r="G23" s="260"/>
      <c r="H23" s="117"/>
    </row>
    <row r="24" spans="2:8" ht="15" hidden="1" customHeight="1" x14ac:dyDescent="0.25">
      <c r="B24" s="128"/>
      <c r="C24" s="259"/>
      <c r="D24" s="261"/>
      <c r="E24" s="1"/>
      <c r="F24" s="259"/>
      <c r="G24" s="260"/>
      <c r="H24" s="117"/>
    </row>
    <row r="25" spans="2:8" ht="15" hidden="1" customHeight="1" x14ac:dyDescent="0.25">
      <c r="B25" s="128"/>
      <c r="C25" s="259"/>
      <c r="D25" s="261"/>
      <c r="E25" s="1"/>
      <c r="F25" s="259"/>
      <c r="G25" s="260"/>
      <c r="H25" s="117"/>
    </row>
    <row r="26" spans="2:8" ht="15" hidden="1" customHeight="1" x14ac:dyDescent="0.25">
      <c r="B26" s="128"/>
      <c r="C26" s="22"/>
      <c r="D26" s="52"/>
      <c r="E26" s="1"/>
      <c r="F26" s="1"/>
      <c r="G26" s="1"/>
      <c r="H26" s="117"/>
    </row>
    <row r="27" spans="2:8" hidden="1" x14ac:dyDescent="0.25">
      <c r="B27" s="128"/>
      <c r="C27" s="22"/>
      <c r="D27" s="52"/>
      <c r="E27" s="1"/>
      <c r="F27" s="79"/>
      <c r="G27" s="1"/>
      <c r="H27" s="117"/>
    </row>
    <row r="28" spans="2:8" ht="15" customHeight="1" x14ac:dyDescent="0.25">
      <c r="B28" s="128"/>
      <c r="C28" s="259" t="s">
        <v>128</v>
      </c>
      <c r="D28" s="261" t="e">
        <f>IF(ROUND(D19,2)&lt;0,0&amp;" kg TN/year",ROUND(D19,2)&amp;" kg TN/year")</f>
        <v>#VALUE!</v>
      </c>
      <c r="E28" s="1"/>
      <c r="F28" s="79"/>
      <c r="G28" s="260" t="str">
        <f>IFERROR(IF(AND('Stage 1'!$D$9&lt;DATE(2025,1,1),OR((VLOOKUP('Stage 1'!$D$13,Lookups!$C$8:$G$17,2,FALSE))&gt;(VLOOKUP('Stage 1'!$D$13,Lookups!$C$8:$G$17,4,FALSE)),(VLOOKUP('Stage 1'!$D$13,Lookups!$C$8:$G$17,3,FALSE))&gt;(VLOOKUP('Stage 1'!$D$13,Lookups!$C$8:$G$17,5,FALSE)))),IF(ROUND(('Stage 3'!E27-'Stage 2'!E32+'Stage 1'!H22)*1.2,2)&lt;0,0&amp;" kg TN/year",ROUND(('Stage 3'!E27-'Stage 2'!E32+'Stage 1'!H22)*1.2,2)&amp;" kg TN/year"),""),"")</f>
        <v/>
      </c>
      <c r="H28" s="117"/>
    </row>
    <row r="29" spans="2:8" ht="15.75" customHeight="1" x14ac:dyDescent="0.25">
      <c r="B29" s="128"/>
      <c r="C29" s="259"/>
      <c r="D29" s="261"/>
      <c r="E29" s="1"/>
      <c r="F29" s="259" t="str">
        <f>IFERROR(IF(AND('Stage 1'!$D$9&lt;DATE(2025,1,1),OR((VLOOKUP('Stage 1'!$D$13,Lookups!$C$8:$G$17,2,FALSE))&gt;(VLOOKUP('Stage 1'!$D$13,Lookups!$C$8:$G$17,4,FALSE)),(VLOOKUP('Stage 1'!$D$13,Lookups!$C$8:$G$17,3,FALSE))&gt;(VLOOKUP('Stage 1'!$D$13,Lookups!$C$8:$G$17,5,FALSE)))),"The pre-2025 annual nitrogen load to mitigate is:",""),"")</f>
        <v/>
      </c>
      <c r="G29" s="260"/>
      <c r="H29" s="117"/>
    </row>
    <row r="30" spans="2:8" ht="15" customHeight="1" x14ac:dyDescent="0.25">
      <c r="B30" s="128"/>
      <c r="C30" s="259"/>
      <c r="D30" s="261"/>
      <c r="E30" s="1"/>
      <c r="F30" s="259"/>
      <c r="G30" s="260"/>
      <c r="H30" s="117"/>
    </row>
    <row r="31" spans="2:8" ht="15.75" customHeight="1" x14ac:dyDescent="0.25">
      <c r="B31" s="128"/>
      <c r="C31" s="259"/>
      <c r="D31" s="261"/>
      <c r="E31" s="1"/>
      <c r="F31" s="259"/>
      <c r="G31" s="260"/>
      <c r="H31" s="117"/>
    </row>
    <row r="32" spans="2:8" ht="15.75" thickBot="1" x14ac:dyDescent="0.3">
      <c r="B32" s="145"/>
      <c r="C32" s="131"/>
      <c r="D32" s="131"/>
      <c r="E32" s="131"/>
      <c r="F32" s="131"/>
      <c r="G32" s="131"/>
      <c r="H32" s="132"/>
    </row>
    <row r="33" ht="15.75" thickTop="1" x14ac:dyDescent="0.25"/>
  </sheetData>
  <sheetProtection algorithmName="SHA-512" hashValue="jlnYE2XgIvGvWcO+27JRXh/jt+KEKW1wH/fIMeVbCJhCnC9MC6tVFCUEbLfy0OZ2eREFg1dg+Sib7ylaHMxijQ==" saltValue="ayYHMj1I5YYel+5Cnlx/zg==" spinCount="100000" sheet="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119</v>
      </c>
      <c r="D9" s="22"/>
      <c r="E9" s="259" t="s">
        <v>129</v>
      </c>
      <c r="G9" s="3"/>
      <c r="H9" s="3"/>
      <c r="I9" s="9"/>
      <c r="K9" s="7"/>
    </row>
    <row r="10" spans="2:11" ht="21" customHeight="1" thickTop="1" thickBot="1" x14ac:dyDescent="0.4">
      <c r="B10" s="15" t="s">
        <v>120</v>
      </c>
      <c r="D10" s="24"/>
      <c r="E10" s="259"/>
      <c r="G10" s="3"/>
      <c r="H10" s="3" t="s">
        <v>130</v>
      </c>
      <c r="I10" s="9"/>
      <c r="J10" s="6"/>
      <c r="K10" s="8"/>
    </row>
    <row r="11" spans="2:11" ht="18.75" thickTop="1" thickBot="1" x14ac:dyDescent="0.3">
      <c r="B11" s="16" t="s">
        <v>121</v>
      </c>
      <c r="D11" s="25"/>
      <c r="E11" s="259"/>
      <c r="G11" s="7"/>
      <c r="H11" s="7" t="e">
        <f>IF(C33&lt;0,"Well done, you're in the clear…,""")</f>
        <v>#VALUE!</v>
      </c>
      <c r="I11" s="7"/>
      <c r="J11" s="7"/>
      <c r="K11" s="8"/>
    </row>
    <row r="12" spans="2:11" ht="29.25" customHeight="1" thickTop="1" x14ac:dyDescent="0.25">
      <c r="B12" s="17" t="s">
        <v>122</v>
      </c>
      <c r="D12" s="26"/>
      <c r="E12" s="259"/>
      <c r="G12" s="8"/>
      <c r="H12" s="8" t="s">
        <v>131</v>
      </c>
      <c r="I12" s="8"/>
      <c r="J12" s="8"/>
    </row>
    <row r="13" spans="2:11" ht="11.25" customHeight="1" x14ac:dyDescent="0.25">
      <c r="B13" s="22"/>
      <c r="C13" s="22"/>
      <c r="D13" s="22"/>
      <c r="E13" s="22"/>
      <c r="F13" s="52"/>
    </row>
    <row r="14" spans="2:11" x14ac:dyDescent="0.25">
      <c r="B14" s="22"/>
      <c r="C14" s="22"/>
      <c r="D14" s="22"/>
      <c r="E14" s="22"/>
      <c r="F14" s="52"/>
    </row>
    <row r="15" spans="2:11" ht="15.75" thickBot="1" x14ac:dyDescent="0.3">
      <c r="B15" s="14" t="s">
        <v>123</v>
      </c>
      <c r="C15" s="49" t="str">
        <f>'Stage 1'!D34</f>
        <v/>
      </c>
      <c r="D15" s="22"/>
      <c r="E15" s="259" t="s">
        <v>132</v>
      </c>
    </row>
    <row r="16" spans="2:11" ht="16.5" thickTop="1" thickBot="1" x14ac:dyDescent="0.3">
      <c r="B16" s="15" t="s">
        <v>124</v>
      </c>
      <c r="C16" s="23">
        <f>'Stage 3'!E27-'Stage 2'!E32</f>
        <v>0</v>
      </c>
      <c r="D16" s="22"/>
      <c r="E16" s="259"/>
    </row>
    <row r="17" spans="2:6" ht="16.5" thickTop="1" thickBot="1" x14ac:dyDescent="0.3">
      <c r="B17" s="16" t="s">
        <v>125</v>
      </c>
      <c r="C17" s="50" t="e">
        <f>C15+C16</f>
        <v>#VALUE!</v>
      </c>
      <c r="D17" s="18"/>
      <c r="E17" s="259"/>
    </row>
    <row r="18" spans="2:6" ht="15.75" thickTop="1" x14ac:dyDescent="0.25">
      <c r="B18" s="17" t="s">
        <v>126</v>
      </c>
      <c r="C18" s="51" t="e">
        <f>C17*1.2</f>
        <v>#VALUE!</v>
      </c>
      <c r="D18" s="18"/>
      <c r="E18" s="259"/>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49" t="str">
        <f>'Stage 1'!D29</f>
        <v/>
      </c>
      <c r="F24" s="261" t="e">
        <f>C33</f>
        <v>#VALUE!</v>
      </c>
    </row>
    <row r="25" spans="2:6" ht="15.75" thickTop="1" x14ac:dyDescent="0.25">
      <c r="F25" s="261"/>
    </row>
    <row r="26" spans="2:6" x14ac:dyDescent="0.25">
      <c r="F26" s="261"/>
    </row>
    <row r="27" spans="2:6" ht="15.75" thickBot="1" x14ac:dyDescent="0.3">
      <c r="C27" s="23" t="e">
        <f>'Stage 3'!#REF!-'Stage 2'!#REF!</f>
        <v>#REF!</v>
      </c>
      <c r="F27" s="261"/>
    </row>
    <row r="28" spans="2:6" ht="15.75" thickTop="1" x14ac:dyDescent="0.25"/>
    <row r="29" spans="2:6" ht="15.75" thickBot="1" x14ac:dyDescent="0.3">
      <c r="F29" s="261" t="e">
        <f>C18</f>
        <v>#VALUE!</v>
      </c>
    </row>
    <row r="30" spans="2:6" ht="16.5" thickTop="1" thickBot="1" x14ac:dyDescent="0.3">
      <c r="C30" s="50" t="e">
        <f>C24+C27</f>
        <v>#VALUE!</v>
      </c>
      <c r="F30" s="261"/>
    </row>
    <row r="31" spans="2:6" ht="15.75" thickTop="1" x14ac:dyDescent="0.25">
      <c r="F31" s="261"/>
    </row>
    <row r="32" spans="2:6" ht="15.75" thickBot="1" x14ac:dyDescent="0.3">
      <c r="F32" s="261"/>
    </row>
    <row r="33" spans="3:3" ht="15.75" thickTop="1" x14ac:dyDescent="0.25">
      <c r="C33" s="51"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21"/>
  <sheetViews>
    <sheetView showGridLines="0" showRowColHeaders="0" zoomScale="70" zoomScaleNormal="70" workbookViewId="0"/>
  </sheetViews>
  <sheetFormatPr defaultColWidth="9.140625" defaultRowHeight="15" x14ac:dyDescent="0.25"/>
  <cols>
    <col min="1" max="1" width="9.140625" style="133"/>
    <col min="2" max="2" width="4.85546875" style="133" customWidth="1"/>
    <col min="3" max="3" width="44.42578125" style="133" bestFit="1" customWidth="1"/>
    <col min="4" max="4" width="31.28515625" style="133" bestFit="1" customWidth="1"/>
    <col min="5" max="5" width="34" style="133" customWidth="1"/>
    <col min="6" max="6" width="31.5703125" style="133" customWidth="1"/>
    <col min="7" max="7" width="41.85546875" style="133" customWidth="1"/>
    <col min="8" max="8" width="67.7109375" style="133" customWidth="1"/>
    <col min="9" max="9" width="46.5703125" style="133" customWidth="1"/>
    <col min="10" max="10" width="39.85546875" style="133" bestFit="1" customWidth="1"/>
    <col min="11" max="11" width="36.85546875" style="133" customWidth="1"/>
    <col min="12" max="12" width="38.140625" style="133" bestFit="1" customWidth="1"/>
    <col min="13" max="15" width="28" style="133" customWidth="1"/>
    <col min="16" max="16" width="9" style="133" customWidth="1"/>
    <col min="17" max="16384" width="9.140625" style="133"/>
  </cols>
  <sheetData>
    <row r="1" spans="2:16" ht="35.25" customHeight="1" thickBot="1" x14ac:dyDescent="0.3"/>
    <row r="2" spans="2:16" ht="15.75" thickTop="1" x14ac:dyDescent="0.25">
      <c r="B2" s="255" t="s">
        <v>133</v>
      </c>
      <c r="C2" s="256"/>
      <c r="D2" s="256"/>
      <c r="E2" s="256"/>
      <c r="F2" s="256"/>
      <c r="G2" s="256"/>
      <c r="H2" s="256"/>
      <c r="I2" s="256"/>
      <c r="J2" s="256"/>
      <c r="K2" s="256"/>
      <c r="L2" s="256"/>
      <c r="M2" s="256"/>
      <c r="N2" s="256"/>
      <c r="O2" s="256"/>
      <c r="P2" s="257"/>
    </row>
    <row r="3" spans="2:16" x14ac:dyDescent="0.25">
      <c r="B3" s="245"/>
      <c r="C3" s="246"/>
      <c r="D3" s="246"/>
      <c r="E3" s="246"/>
      <c r="F3" s="246"/>
      <c r="G3" s="246"/>
      <c r="H3" s="246"/>
      <c r="I3" s="246"/>
      <c r="J3" s="246"/>
      <c r="K3" s="246"/>
      <c r="L3" s="246"/>
      <c r="M3" s="246"/>
      <c r="N3" s="246"/>
      <c r="O3" s="246"/>
      <c r="P3" s="247"/>
    </row>
    <row r="4" spans="2:16" x14ac:dyDescent="0.25">
      <c r="B4" s="245"/>
      <c r="C4" s="246"/>
      <c r="D4" s="246"/>
      <c r="E4" s="246"/>
      <c r="F4" s="246"/>
      <c r="G4" s="246"/>
      <c r="H4" s="246"/>
      <c r="I4" s="246"/>
      <c r="J4" s="246"/>
      <c r="K4" s="246"/>
      <c r="L4" s="246"/>
      <c r="M4" s="246"/>
      <c r="N4" s="246"/>
      <c r="O4" s="246"/>
      <c r="P4" s="247"/>
    </row>
    <row r="5" spans="2:16" x14ac:dyDescent="0.25">
      <c r="B5" s="129"/>
      <c r="C5" s="22"/>
      <c r="D5" s="22"/>
      <c r="E5" s="22"/>
      <c r="F5" s="22"/>
      <c r="G5" s="22"/>
      <c r="H5" s="22"/>
      <c r="I5" s="22"/>
      <c r="J5" s="22"/>
      <c r="K5" s="22"/>
      <c r="L5" s="22"/>
      <c r="M5" s="22"/>
      <c r="N5" s="22"/>
      <c r="O5" s="22"/>
      <c r="P5" s="130"/>
    </row>
    <row r="6" spans="2:16" x14ac:dyDescent="0.25">
      <c r="B6" s="129"/>
      <c r="C6" s="22" t="s">
        <v>134</v>
      </c>
      <c r="D6" s="22"/>
      <c r="E6" s="22"/>
      <c r="F6" s="22"/>
      <c r="G6" s="22"/>
      <c r="H6" s="22"/>
      <c r="I6" s="22"/>
      <c r="J6" s="22"/>
      <c r="K6" s="22"/>
      <c r="L6" s="22"/>
      <c r="M6" s="22"/>
      <c r="N6" s="22"/>
      <c r="O6" s="22"/>
      <c r="P6" s="130"/>
    </row>
    <row r="7" spans="2:16" ht="30.75" thickBot="1" x14ac:dyDescent="0.3">
      <c r="B7" s="129"/>
      <c r="C7" s="33" t="s">
        <v>135</v>
      </c>
      <c r="D7" s="45" t="s">
        <v>136</v>
      </c>
      <c r="E7" s="45" t="s">
        <v>137</v>
      </c>
      <c r="F7" s="45" t="s">
        <v>138</v>
      </c>
      <c r="G7" s="127" t="s">
        <v>139</v>
      </c>
      <c r="H7" s="27"/>
      <c r="I7" s="27"/>
      <c r="J7" s="27"/>
      <c r="K7" s="27"/>
      <c r="L7" s="27"/>
      <c r="M7" s="27"/>
      <c r="N7" s="27"/>
      <c r="O7" s="27"/>
      <c r="P7" s="130"/>
    </row>
    <row r="8" spans="2:16" ht="15.75" thickTop="1" x14ac:dyDescent="0.25">
      <c r="B8" s="129"/>
      <c r="C8" s="177" t="s">
        <v>140</v>
      </c>
      <c r="D8" s="43"/>
      <c r="E8" s="43">
        <v>27</v>
      </c>
      <c r="F8" s="43"/>
      <c r="G8" s="40">
        <v>27</v>
      </c>
      <c r="H8" s="27"/>
      <c r="I8" s="27"/>
      <c r="J8" s="27"/>
      <c r="K8" s="27"/>
      <c r="L8" s="27"/>
      <c r="M8" s="27"/>
      <c r="N8" s="27"/>
      <c r="O8" s="27"/>
      <c r="P8" s="130"/>
    </row>
    <row r="9" spans="2:16" x14ac:dyDescent="0.25">
      <c r="B9" s="129"/>
      <c r="C9" s="177" t="s">
        <v>141</v>
      </c>
      <c r="D9" s="43"/>
      <c r="E9" s="43">
        <v>27</v>
      </c>
      <c r="F9" s="43"/>
      <c r="G9" s="40">
        <v>27</v>
      </c>
      <c r="H9" s="27"/>
      <c r="I9" s="27"/>
      <c r="J9" s="27"/>
      <c r="K9" s="27"/>
      <c r="L9" s="27"/>
      <c r="M9" s="27"/>
      <c r="N9" s="27"/>
      <c r="O9" s="27"/>
      <c r="P9" s="130"/>
    </row>
    <row r="10" spans="2:16" x14ac:dyDescent="0.25">
      <c r="B10" s="129"/>
      <c r="C10" s="177" t="s">
        <v>142</v>
      </c>
      <c r="D10" s="43"/>
      <c r="E10" s="43">
        <v>27</v>
      </c>
      <c r="F10" s="43"/>
      <c r="G10" s="40">
        <v>27</v>
      </c>
      <c r="H10" s="27"/>
      <c r="I10" s="27"/>
      <c r="J10" s="27"/>
      <c r="K10" s="27"/>
      <c r="L10" s="27"/>
      <c r="M10" s="27"/>
      <c r="N10" s="27"/>
      <c r="O10" s="27"/>
      <c r="P10" s="130"/>
    </row>
    <row r="11" spans="2:16" x14ac:dyDescent="0.25">
      <c r="B11" s="129"/>
      <c r="C11" s="177" t="s">
        <v>143</v>
      </c>
      <c r="D11" s="43"/>
      <c r="E11" s="43">
        <v>27</v>
      </c>
      <c r="F11" s="43"/>
      <c r="G11" s="40">
        <v>27</v>
      </c>
      <c r="H11" s="27"/>
      <c r="I11" s="27"/>
      <c r="J11" s="27"/>
      <c r="K11" s="27"/>
      <c r="L11" s="27"/>
      <c r="M11" s="27"/>
      <c r="N11" s="27"/>
      <c r="O11" s="27"/>
      <c r="P11" s="130"/>
    </row>
    <row r="12" spans="2:16" x14ac:dyDescent="0.25">
      <c r="B12" s="129"/>
      <c r="C12" s="177" t="s">
        <v>144</v>
      </c>
      <c r="D12" s="43"/>
      <c r="E12" s="43">
        <v>27</v>
      </c>
      <c r="F12" s="43"/>
      <c r="G12" s="40">
        <v>27</v>
      </c>
      <c r="H12" s="27"/>
      <c r="I12" s="27"/>
      <c r="J12" s="27"/>
      <c r="K12" s="27"/>
      <c r="L12" s="27"/>
      <c r="M12" s="27"/>
      <c r="N12" s="27"/>
      <c r="O12" s="27"/>
      <c r="P12" s="130"/>
    </row>
    <row r="13" spans="2:16" x14ac:dyDescent="0.25">
      <c r="B13" s="129"/>
      <c r="C13" s="177" t="s">
        <v>145</v>
      </c>
      <c r="D13" s="43"/>
      <c r="E13" s="43">
        <v>27</v>
      </c>
      <c r="F13" s="43"/>
      <c r="G13" s="40">
        <v>27</v>
      </c>
      <c r="H13" s="27"/>
      <c r="I13" s="27"/>
      <c r="J13" s="27"/>
      <c r="K13" s="27"/>
      <c r="L13" s="27"/>
      <c r="M13" s="27"/>
      <c r="N13" s="27"/>
      <c r="O13" s="27"/>
      <c r="P13" s="130"/>
    </row>
    <row r="14" spans="2:16" x14ac:dyDescent="0.25">
      <c r="B14" s="129"/>
      <c r="C14" s="177" t="s">
        <v>146</v>
      </c>
      <c r="D14" s="43"/>
      <c r="E14" s="43">
        <v>27</v>
      </c>
      <c r="F14" s="43"/>
      <c r="G14" s="40">
        <v>27</v>
      </c>
      <c r="H14" s="27"/>
      <c r="I14" s="27"/>
      <c r="J14" s="27"/>
      <c r="K14" s="27"/>
      <c r="L14" s="27"/>
      <c r="M14" s="27"/>
      <c r="N14" s="27"/>
      <c r="O14" s="27"/>
      <c r="P14" s="130"/>
    </row>
    <row r="15" spans="2:16" x14ac:dyDescent="0.25">
      <c r="B15" s="129"/>
      <c r="C15" s="177" t="s">
        <v>147</v>
      </c>
      <c r="D15" s="43"/>
      <c r="E15" s="43">
        <v>27</v>
      </c>
      <c r="F15" s="43"/>
      <c r="G15" s="40">
        <v>27</v>
      </c>
      <c r="H15" s="27"/>
      <c r="I15" s="27"/>
      <c r="J15" s="27"/>
      <c r="K15" s="27"/>
      <c r="L15" s="27"/>
      <c r="M15" s="27"/>
      <c r="N15" s="27"/>
      <c r="O15" s="27"/>
      <c r="P15" s="130"/>
    </row>
    <row r="16" spans="2:16" x14ac:dyDescent="0.25">
      <c r="B16" s="129"/>
      <c r="C16" s="177" t="s">
        <v>148</v>
      </c>
      <c r="D16" s="43"/>
      <c r="E16" s="43">
        <v>72.900000000000006</v>
      </c>
      <c r="F16" s="43"/>
      <c r="G16" s="40">
        <v>72.900000000000006</v>
      </c>
      <c r="H16" s="27"/>
      <c r="I16" s="27"/>
      <c r="J16" s="27"/>
      <c r="K16" s="27"/>
      <c r="L16" s="27"/>
      <c r="M16" s="27"/>
      <c r="N16" s="27"/>
      <c r="O16" s="27"/>
      <c r="P16" s="130"/>
    </row>
    <row r="17" spans="2:16" x14ac:dyDescent="0.25">
      <c r="B17" s="129"/>
      <c r="C17" s="177" t="s">
        <v>149</v>
      </c>
      <c r="D17" s="43"/>
      <c r="E17" s="43">
        <v>96.3</v>
      </c>
      <c r="F17" s="43"/>
      <c r="G17" s="40">
        <v>96.3</v>
      </c>
      <c r="H17" s="27"/>
      <c r="I17" s="27"/>
      <c r="J17" s="27"/>
      <c r="K17" s="27"/>
      <c r="L17" s="27"/>
      <c r="M17" s="27"/>
      <c r="N17" s="27"/>
      <c r="O17" s="27"/>
      <c r="P17" s="130"/>
    </row>
    <row r="18" spans="2:16" x14ac:dyDescent="0.25">
      <c r="B18" s="129"/>
      <c r="C18" s="177" t="s">
        <v>150</v>
      </c>
      <c r="D18" s="43"/>
      <c r="E18" s="43"/>
      <c r="F18" s="43"/>
      <c r="G18" s="37"/>
      <c r="H18" s="27"/>
      <c r="I18" s="27"/>
      <c r="J18" s="27"/>
      <c r="K18" s="27"/>
      <c r="L18" s="27"/>
      <c r="M18" s="27"/>
      <c r="N18" s="27"/>
      <c r="O18" s="27"/>
      <c r="P18" s="130"/>
    </row>
    <row r="19" spans="2:16" x14ac:dyDescent="0.25">
      <c r="B19" s="129"/>
      <c r="C19" s="177" t="s">
        <v>151</v>
      </c>
      <c r="D19" s="43"/>
      <c r="E19" s="43"/>
      <c r="F19" s="43"/>
      <c r="G19" s="37"/>
      <c r="H19" s="27"/>
      <c r="I19" s="27"/>
      <c r="J19" s="27"/>
      <c r="K19" s="27"/>
      <c r="L19" s="27"/>
      <c r="M19" s="27"/>
      <c r="N19" s="27"/>
      <c r="O19" s="27"/>
      <c r="P19" s="130"/>
    </row>
    <row r="20" spans="2:16" x14ac:dyDescent="0.25">
      <c r="B20" s="129"/>
      <c r="C20" s="27"/>
      <c r="D20" s="27"/>
      <c r="E20" s="27"/>
      <c r="F20" s="27"/>
      <c r="G20" s="27"/>
      <c r="H20" s="27"/>
      <c r="I20" s="27"/>
      <c r="J20" s="27"/>
      <c r="K20" s="27"/>
      <c r="L20" s="27"/>
      <c r="M20" s="27"/>
      <c r="N20" s="27"/>
      <c r="O20" s="27"/>
      <c r="P20" s="130"/>
    </row>
    <row r="21" spans="2:16" x14ac:dyDescent="0.25">
      <c r="B21" s="129"/>
      <c r="C21" s="27" t="s">
        <v>152</v>
      </c>
      <c r="D21" s="27"/>
      <c r="E21" s="27"/>
      <c r="F21" s="27"/>
      <c r="G21" s="27"/>
      <c r="H21" s="27"/>
      <c r="I21" s="27"/>
      <c r="J21" s="27"/>
      <c r="K21" s="27"/>
      <c r="L21" s="27"/>
      <c r="M21" s="27"/>
      <c r="N21" s="27"/>
      <c r="O21" s="27"/>
      <c r="P21" s="130"/>
    </row>
    <row r="22" spans="2:16" ht="58.5" customHeight="1" thickBot="1" x14ac:dyDescent="0.3">
      <c r="B22" s="129"/>
      <c r="C22" s="33" t="s">
        <v>153</v>
      </c>
      <c r="D22" s="33" t="s">
        <v>154</v>
      </c>
      <c r="E22" s="33" t="s">
        <v>155</v>
      </c>
      <c r="F22" s="33" t="s">
        <v>156</v>
      </c>
      <c r="G22" s="33" t="s">
        <v>157</v>
      </c>
      <c r="H22" s="33" t="s">
        <v>158</v>
      </c>
      <c r="I22" s="33" t="s">
        <v>159</v>
      </c>
      <c r="J22" s="45" t="s">
        <v>160</v>
      </c>
      <c r="K22" s="33" t="s">
        <v>161</v>
      </c>
      <c r="L22" s="39" t="s">
        <v>162</v>
      </c>
      <c r="M22" s="45" t="s">
        <v>163</v>
      </c>
      <c r="N22" s="33" t="s">
        <v>164</v>
      </c>
      <c r="O22" s="127" t="s">
        <v>165</v>
      </c>
      <c r="P22" s="130"/>
    </row>
    <row r="23" spans="2:16" ht="17.25" customHeight="1" thickTop="1" x14ac:dyDescent="0.25">
      <c r="B23" s="129"/>
      <c r="C23" s="178" t="s">
        <v>166</v>
      </c>
      <c r="D23" s="178" t="s">
        <v>111</v>
      </c>
      <c r="E23" s="178" t="b">
        <v>1</v>
      </c>
      <c r="F23" s="178" t="s">
        <v>167</v>
      </c>
      <c r="G23" s="178" t="s">
        <v>168</v>
      </c>
      <c r="H23" s="30" t="str">
        <f>C23&amp;"|"&amp;D23&amp;"|"&amp;E23&amp;"|"&amp;F23&amp;"|"&amp;G23</f>
        <v>Berwick to Alnmouth Coast|Cereals|TRUE|600to700|FreeDrain</v>
      </c>
      <c r="I23" s="125">
        <v>4.8485066275760227E-2</v>
      </c>
      <c r="J23" s="47">
        <v>24.39532736869031</v>
      </c>
      <c r="K23" s="30" t="str">
        <f t="shared" ref="K23:K67" si="0">D23&amp;"|"&amp;F23</f>
        <v>Cereals|600to700</v>
      </c>
      <c r="L23" s="44">
        <f>AVERAGE(I23:I24,I26)</f>
        <v>0.28533969119150077</v>
      </c>
      <c r="M23" s="125">
        <f>AVERAGE(J23:J24,J26)</f>
        <v>20.420471383469998</v>
      </c>
      <c r="N23" s="47">
        <f>AVERAGE(I23:I33)</f>
        <v>0.67318999440917404</v>
      </c>
      <c r="O23" s="35">
        <f>AVERAGE(J23:J33)</f>
        <v>24.165385658209392</v>
      </c>
      <c r="P23" s="130"/>
    </row>
    <row r="24" spans="2:16" ht="17.25" customHeight="1" x14ac:dyDescent="0.25">
      <c r="B24" s="129"/>
      <c r="C24" s="178" t="s">
        <v>166</v>
      </c>
      <c r="D24" s="178" t="s">
        <v>111</v>
      </c>
      <c r="E24" s="178" t="b">
        <v>0</v>
      </c>
      <c r="F24" s="178" t="s">
        <v>167</v>
      </c>
      <c r="G24" s="178" t="s">
        <v>169</v>
      </c>
      <c r="H24" s="30" t="str">
        <f>C24&amp;"|"&amp;D24&amp;"|"&amp;E24&amp;"|"&amp;F24&amp;"|"&amp;G24</f>
        <v>Berwick to Alnmouth Coast|Cereals|FALSE|600to700|DrainedAr</v>
      </c>
      <c r="I24" s="125">
        <v>0.29577367254135345</v>
      </c>
      <c r="J24" s="47">
        <v>17.852022302178895</v>
      </c>
      <c r="K24" s="30" t="str">
        <f t="shared" si="0"/>
        <v>Cereals|600to700</v>
      </c>
      <c r="L24" s="44"/>
      <c r="M24" s="125"/>
      <c r="N24" s="47"/>
      <c r="O24" s="44"/>
      <c r="P24" s="130"/>
    </row>
    <row r="25" spans="2:16" ht="17.25" customHeight="1" x14ac:dyDescent="0.25">
      <c r="B25" s="129"/>
      <c r="C25" s="178" t="s">
        <v>166</v>
      </c>
      <c r="D25" s="178" t="s">
        <v>111</v>
      </c>
      <c r="E25" s="178" t="b">
        <v>1</v>
      </c>
      <c r="F25" s="178" t="s">
        <v>167</v>
      </c>
      <c r="G25" s="178" t="s">
        <v>169</v>
      </c>
      <c r="H25" s="30" t="str">
        <f t="shared" ref="H25:H67" si="1">C25&amp;"|"&amp;D25&amp;"|"&amp;E25&amp;"|"&amp;F25&amp;"|"&amp;G25</f>
        <v>Berwick to Alnmouth Coast|Cereals|TRUE|600to700|DrainedAr</v>
      </c>
      <c r="I25" s="125">
        <v>0.29572753581053268</v>
      </c>
      <c r="J25" s="47">
        <v>17.798889394065878</v>
      </c>
      <c r="K25" s="30" t="str">
        <f t="shared" si="0"/>
        <v>Cereals|600to700</v>
      </c>
      <c r="L25" s="44"/>
      <c r="M25" s="125"/>
      <c r="N25" s="47"/>
      <c r="O25" s="44"/>
      <c r="P25" s="130"/>
    </row>
    <row r="26" spans="2:16" ht="17.25" customHeight="1" x14ac:dyDescent="0.25">
      <c r="B26" s="129"/>
      <c r="C26" s="178" t="s">
        <v>166</v>
      </c>
      <c r="D26" s="178" t="s">
        <v>111</v>
      </c>
      <c r="E26" s="178" t="b">
        <v>0</v>
      </c>
      <c r="F26" s="178" t="s">
        <v>167</v>
      </c>
      <c r="G26" s="178" t="s">
        <v>170</v>
      </c>
      <c r="H26" s="30" t="str">
        <f t="shared" si="1"/>
        <v>Berwick to Alnmouth Coast|Cereals|FALSE|600to700|DrainedArGr</v>
      </c>
      <c r="I26" s="125">
        <v>0.51176033475738869</v>
      </c>
      <c r="J26" s="47">
        <v>19.014064479540789</v>
      </c>
      <c r="K26" s="30" t="str">
        <f t="shared" si="0"/>
        <v>Cereals|600to700</v>
      </c>
      <c r="L26" s="44"/>
      <c r="M26" s="125"/>
      <c r="N26" s="47"/>
      <c r="O26" s="44"/>
      <c r="P26" s="130"/>
    </row>
    <row r="27" spans="2:16" ht="17.25" customHeight="1" x14ac:dyDescent="0.25">
      <c r="B27" s="129"/>
      <c r="C27" s="178" t="s">
        <v>166</v>
      </c>
      <c r="D27" s="178" t="s">
        <v>111</v>
      </c>
      <c r="E27" s="178" t="b">
        <v>1</v>
      </c>
      <c r="F27" s="178" t="s">
        <v>167</v>
      </c>
      <c r="G27" s="178" t="s">
        <v>170</v>
      </c>
      <c r="H27" s="30" t="str">
        <f t="shared" si="1"/>
        <v>Berwick to Alnmouth Coast|Cereals|TRUE|600to700|DrainedArGr</v>
      </c>
      <c r="I27" s="125">
        <v>0.5116313928955446</v>
      </c>
      <c r="J27" s="47">
        <v>18.961466080676193</v>
      </c>
      <c r="K27" s="30" t="str">
        <f t="shared" si="0"/>
        <v>Cereals|600to700</v>
      </c>
      <c r="L27" s="44"/>
      <c r="M27" s="125"/>
      <c r="N27" s="47"/>
      <c r="O27" s="44"/>
      <c r="P27" s="130"/>
    </row>
    <row r="28" spans="2:16" ht="17.25" customHeight="1" x14ac:dyDescent="0.25">
      <c r="B28" s="129"/>
      <c r="C28" s="178" t="s">
        <v>166</v>
      </c>
      <c r="D28" s="178" t="s">
        <v>111</v>
      </c>
      <c r="E28" s="178" t="b">
        <v>0</v>
      </c>
      <c r="F28" s="178" t="s">
        <v>171</v>
      </c>
      <c r="G28" s="178" t="s">
        <v>168</v>
      </c>
      <c r="H28" s="30" t="str">
        <f t="shared" si="1"/>
        <v>Berwick to Alnmouth Coast|Cereals|FALSE|700to900|FreeDrain</v>
      </c>
      <c r="I28" s="125">
        <v>0.12670311831507128</v>
      </c>
      <c r="J28" s="47">
        <v>29.372856857937268</v>
      </c>
      <c r="K28" s="30" t="str">
        <f t="shared" si="0"/>
        <v>Cereals|700to900</v>
      </c>
      <c r="L28" s="44">
        <f>AVERAGE(I28:I30)</f>
        <v>0.5581501077269243</v>
      </c>
      <c r="M28" s="125">
        <f>AVERAGE(J28:J30)</f>
        <v>24.235529895850533</v>
      </c>
      <c r="N28" s="47"/>
      <c r="O28" s="44"/>
      <c r="P28" s="130"/>
    </row>
    <row r="29" spans="2:16" ht="17.25" customHeight="1" x14ac:dyDescent="0.25">
      <c r="B29" s="129"/>
      <c r="C29" s="178" t="s">
        <v>166</v>
      </c>
      <c r="D29" s="178" t="s">
        <v>111</v>
      </c>
      <c r="E29" s="178" t="b">
        <v>0</v>
      </c>
      <c r="F29" s="178" t="s">
        <v>171</v>
      </c>
      <c r="G29" s="178" t="s">
        <v>169</v>
      </c>
      <c r="H29" s="30" t="str">
        <f t="shared" si="1"/>
        <v>Berwick to Alnmouth Coast|Cereals|FALSE|700to900|DrainedAr</v>
      </c>
      <c r="I29" s="125">
        <v>0.64129097277321323</v>
      </c>
      <c r="J29" s="47">
        <v>22.434186172613245</v>
      </c>
      <c r="K29" s="30" t="str">
        <f t="shared" si="0"/>
        <v>Cereals|700to900</v>
      </c>
      <c r="L29" s="44"/>
      <c r="M29" s="125"/>
      <c r="N29" s="47"/>
      <c r="O29" s="44"/>
      <c r="P29" s="130"/>
    </row>
    <row r="30" spans="2:16" ht="17.25" customHeight="1" x14ac:dyDescent="0.25">
      <c r="B30" s="129"/>
      <c r="C30" s="178" t="s">
        <v>166</v>
      </c>
      <c r="D30" s="178" t="s">
        <v>111</v>
      </c>
      <c r="E30" s="178" t="b">
        <v>0</v>
      </c>
      <c r="F30" s="178" t="s">
        <v>171</v>
      </c>
      <c r="G30" s="178" t="s">
        <v>170</v>
      </c>
      <c r="H30" s="30" t="str">
        <f t="shared" si="1"/>
        <v>Berwick to Alnmouth Coast|Cereals|FALSE|700to900|DrainedArGr</v>
      </c>
      <c r="I30" s="125">
        <v>0.90645623209248827</v>
      </c>
      <c r="J30" s="47">
        <v>20.899546657001085</v>
      </c>
      <c r="K30" s="30" t="str">
        <f t="shared" si="0"/>
        <v>Cereals|700to900</v>
      </c>
      <c r="L30" s="44"/>
      <c r="M30" s="125"/>
      <c r="N30" s="47"/>
      <c r="O30" s="44"/>
      <c r="P30" s="130"/>
    </row>
    <row r="31" spans="2:16" ht="17.25" customHeight="1" x14ac:dyDescent="0.25">
      <c r="B31" s="129"/>
      <c r="C31" s="178" t="s">
        <v>166</v>
      </c>
      <c r="D31" s="178" t="s">
        <v>111</v>
      </c>
      <c r="E31" s="178" t="b">
        <v>1</v>
      </c>
      <c r="F31" s="178" t="s">
        <v>171</v>
      </c>
      <c r="G31" s="178" t="s">
        <v>170</v>
      </c>
      <c r="H31" s="30" t="str">
        <f t="shared" si="1"/>
        <v>Berwick to Alnmouth Coast|Cereals|TRUE|700to900|DrainedArGr</v>
      </c>
      <c r="I31" s="125">
        <v>0.90629060685880825</v>
      </c>
      <c r="J31" s="47">
        <v>20.845275014192566</v>
      </c>
      <c r="K31" s="30" t="str">
        <f t="shared" si="0"/>
        <v>Cereals|700to900</v>
      </c>
      <c r="L31" s="44"/>
      <c r="M31" s="125"/>
      <c r="N31" s="47"/>
      <c r="O31" s="44"/>
      <c r="P31" s="130"/>
    </row>
    <row r="32" spans="2:16" ht="17.25" customHeight="1" x14ac:dyDescent="0.25">
      <c r="B32" s="129"/>
      <c r="C32" s="178" t="s">
        <v>166</v>
      </c>
      <c r="D32" s="178" t="s">
        <v>111</v>
      </c>
      <c r="E32" s="178" t="b">
        <v>1</v>
      </c>
      <c r="F32" s="178" t="s">
        <v>172</v>
      </c>
      <c r="G32" s="178" t="s">
        <v>168</v>
      </c>
      <c r="H32" s="30" t="str">
        <f t="shared" si="1"/>
        <v>Berwick to Alnmouth Coast|Cereals|TRUE|Over1500|FreeDrain</v>
      </c>
      <c r="I32" s="125">
        <v>0.59418830075480034</v>
      </c>
      <c r="J32" s="47">
        <v>32.577783287457059</v>
      </c>
      <c r="K32" s="30" t="str">
        <f t="shared" si="0"/>
        <v>Cereals|Over1500</v>
      </c>
      <c r="L32" s="44">
        <f>AVERAGE(I32:I33,I84)</f>
        <v>6.4956545667731094</v>
      </c>
      <c r="M32" s="125">
        <f>AVERAGE(J32:J33,J84)</f>
        <v>71.42562678808585</v>
      </c>
      <c r="N32" s="47"/>
      <c r="O32" s="44"/>
      <c r="P32" s="130"/>
    </row>
    <row r="33" spans="2:16" ht="17.25" customHeight="1" x14ac:dyDescent="0.25">
      <c r="B33" s="129"/>
      <c r="C33" s="178" t="s">
        <v>166</v>
      </c>
      <c r="D33" s="178" t="s">
        <v>111</v>
      </c>
      <c r="E33" s="178" t="b">
        <v>0</v>
      </c>
      <c r="F33" s="178" t="s">
        <v>172</v>
      </c>
      <c r="G33" s="178" t="s">
        <v>169</v>
      </c>
      <c r="H33" s="30" t="str">
        <f t="shared" si="1"/>
        <v>Berwick to Alnmouth Coast|Cereals|FALSE|Over1500|DrainedAr</v>
      </c>
      <c r="I33" s="125">
        <v>2.5667827054259527</v>
      </c>
      <c r="J33" s="47">
        <v>41.667824625950033</v>
      </c>
      <c r="K33" s="30" t="str">
        <f t="shared" si="0"/>
        <v>Cereals|Over1500</v>
      </c>
      <c r="L33" s="44"/>
      <c r="M33" s="125"/>
      <c r="N33" s="47"/>
      <c r="O33" s="44"/>
      <c r="P33" s="130"/>
    </row>
    <row r="34" spans="2:16" ht="17.25" customHeight="1" x14ac:dyDescent="0.25">
      <c r="B34" s="129"/>
      <c r="C34" s="178" t="s">
        <v>166</v>
      </c>
      <c r="D34" s="178" t="s">
        <v>173</v>
      </c>
      <c r="E34" s="178" t="b">
        <v>0</v>
      </c>
      <c r="F34" s="178" t="s">
        <v>167</v>
      </c>
      <c r="G34" s="178" t="s">
        <v>169</v>
      </c>
      <c r="H34" s="30" t="str">
        <f t="shared" si="1"/>
        <v>Berwick to Alnmouth Coast|General|FALSE|600to700|DrainedAr</v>
      </c>
      <c r="I34" s="125">
        <v>0.21486979933469341</v>
      </c>
      <c r="J34" s="47">
        <v>15.038317235541102</v>
      </c>
      <c r="K34" s="30" t="str">
        <f t="shared" si="0"/>
        <v>General|600to700</v>
      </c>
      <c r="L34" s="44">
        <f>AVERAGE(I34,I36,I85)</f>
        <v>0.2384412624082036</v>
      </c>
      <c r="M34" s="125">
        <f>AVERAGE(J34,J36,J85)</f>
        <v>21.599174665760682</v>
      </c>
      <c r="N34" s="47">
        <f>AVERAGE(I34:I41)</f>
        <v>0.42112508864109871</v>
      </c>
      <c r="O34" s="44">
        <f>AVERAGE(J34:J41)</f>
        <v>18.927838735214049</v>
      </c>
      <c r="P34" s="130"/>
    </row>
    <row r="35" spans="2:16" ht="17.25" customHeight="1" x14ac:dyDescent="0.25">
      <c r="B35" s="129"/>
      <c r="C35" s="178" t="s">
        <v>166</v>
      </c>
      <c r="D35" s="178" t="s">
        <v>173</v>
      </c>
      <c r="E35" s="178" t="b">
        <v>1</v>
      </c>
      <c r="F35" s="178" t="s">
        <v>167</v>
      </c>
      <c r="G35" s="178" t="s">
        <v>169</v>
      </c>
      <c r="H35" s="30" t="str">
        <f t="shared" si="1"/>
        <v>Berwick to Alnmouth Coast|General|TRUE|600to700|DrainedAr</v>
      </c>
      <c r="I35" s="125">
        <v>0.21486979933469341</v>
      </c>
      <c r="J35" s="47">
        <v>14.999510355334809</v>
      </c>
      <c r="K35" s="30" t="str">
        <f t="shared" si="0"/>
        <v>General|600to700</v>
      </c>
      <c r="L35" s="44"/>
      <c r="M35" s="125"/>
      <c r="N35" s="47"/>
      <c r="O35" s="44"/>
      <c r="P35" s="130"/>
    </row>
    <row r="36" spans="2:16" ht="17.25" customHeight="1" x14ac:dyDescent="0.25">
      <c r="B36" s="129"/>
      <c r="C36" s="178" t="s">
        <v>166</v>
      </c>
      <c r="D36" s="178" t="s">
        <v>173</v>
      </c>
      <c r="E36" s="178" t="b">
        <v>0</v>
      </c>
      <c r="F36" s="178" t="s">
        <v>167</v>
      </c>
      <c r="G36" s="178" t="s">
        <v>170</v>
      </c>
      <c r="H36" s="30" t="str">
        <f t="shared" si="1"/>
        <v>Berwick to Alnmouth Coast|General|FALSE|600to700|DrainedArGr</v>
      </c>
      <c r="I36" s="125">
        <v>0.41514830140953396</v>
      </c>
      <c r="J36" s="47">
        <v>15.363251571085129</v>
      </c>
      <c r="K36" s="30" t="str">
        <f t="shared" si="0"/>
        <v>General|600to700</v>
      </c>
      <c r="L36" s="44"/>
      <c r="M36" s="125"/>
      <c r="N36" s="47"/>
      <c r="O36" s="44"/>
      <c r="P36" s="130"/>
    </row>
    <row r="37" spans="2:16" ht="17.25" customHeight="1" x14ac:dyDescent="0.25">
      <c r="B37" s="129"/>
      <c r="C37" s="178" t="s">
        <v>166</v>
      </c>
      <c r="D37" s="178" t="s">
        <v>173</v>
      </c>
      <c r="E37" s="178" t="b">
        <v>0</v>
      </c>
      <c r="F37" s="178" t="s">
        <v>171</v>
      </c>
      <c r="G37" s="178" t="s">
        <v>168</v>
      </c>
      <c r="H37" s="30" t="str">
        <f t="shared" si="1"/>
        <v>Berwick to Alnmouth Coast|General|FALSE|700to900|FreeDrain</v>
      </c>
      <c r="I37" s="125">
        <v>0.10302243005369222</v>
      </c>
      <c r="J37" s="47">
        <v>25.963051145875838</v>
      </c>
      <c r="K37" s="30" t="str">
        <f t="shared" si="0"/>
        <v>General|700to900</v>
      </c>
      <c r="L37" s="44">
        <f>AVERAGE(I37:I39)</f>
        <v>0.43249490304623711</v>
      </c>
      <c r="M37" s="125">
        <f>AVERAGE(J37:J39)</f>
        <v>20.434035100556013</v>
      </c>
      <c r="N37" s="47"/>
      <c r="O37" s="44"/>
      <c r="P37" s="130"/>
    </row>
    <row r="38" spans="2:16" ht="17.25" customHeight="1" x14ac:dyDescent="0.25">
      <c r="B38" s="129"/>
      <c r="C38" s="178" t="s">
        <v>166</v>
      </c>
      <c r="D38" s="178" t="s">
        <v>173</v>
      </c>
      <c r="E38" s="178" t="b">
        <v>0</v>
      </c>
      <c r="F38" s="178" t="s">
        <v>171</v>
      </c>
      <c r="G38" s="178" t="s">
        <v>169</v>
      </c>
      <c r="H38" s="30" t="str">
        <f t="shared" si="1"/>
        <v>Berwick to Alnmouth Coast|General|FALSE|700to900|DrainedAr</v>
      </c>
      <c r="I38" s="125">
        <v>0.46144705167076444</v>
      </c>
      <c r="J38" s="47">
        <v>18.781421349863045</v>
      </c>
      <c r="K38" s="30" t="str">
        <f t="shared" si="0"/>
        <v>General|700to900</v>
      </c>
      <c r="L38" s="44"/>
      <c r="M38" s="125"/>
      <c r="N38" s="47"/>
      <c r="O38" s="44"/>
      <c r="P38" s="130"/>
    </row>
    <row r="39" spans="2:16" ht="17.25" customHeight="1" x14ac:dyDescent="0.25">
      <c r="B39" s="129"/>
      <c r="C39" s="178" t="s">
        <v>166</v>
      </c>
      <c r="D39" s="178" t="s">
        <v>173</v>
      </c>
      <c r="E39" s="178" t="b">
        <v>0</v>
      </c>
      <c r="F39" s="178" t="s">
        <v>171</v>
      </c>
      <c r="G39" s="178" t="s">
        <v>170</v>
      </c>
      <c r="H39" s="30" t="str">
        <f t="shared" si="1"/>
        <v>Berwick to Alnmouth Coast|General|FALSE|700to900|DrainedArGr</v>
      </c>
      <c r="I39" s="125">
        <v>0.73301522741425473</v>
      </c>
      <c r="J39" s="47">
        <v>16.557632805929153</v>
      </c>
      <c r="K39" s="30" t="str">
        <f t="shared" si="0"/>
        <v>General|700to900</v>
      </c>
      <c r="L39" s="44"/>
      <c r="M39" s="125"/>
      <c r="N39" s="47"/>
      <c r="O39" s="44"/>
      <c r="P39" s="130"/>
    </row>
    <row r="40" spans="2:16" ht="17.25" customHeight="1" x14ac:dyDescent="0.25">
      <c r="B40" s="129"/>
      <c r="C40" s="178" t="s">
        <v>166</v>
      </c>
      <c r="D40" s="178" t="s">
        <v>173</v>
      </c>
      <c r="E40" s="178" t="b">
        <v>1</v>
      </c>
      <c r="F40" s="178" t="s">
        <v>171</v>
      </c>
      <c r="G40" s="178" t="s">
        <v>170</v>
      </c>
      <c r="H40" s="30" t="str">
        <f t="shared" si="1"/>
        <v>Berwick to Alnmouth Coast|General|TRUE|700to900|DrainedArGr</v>
      </c>
      <c r="I40" s="125">
        <v>0.73301522741425473</v>
      </c>
      <c r="J40" s="47">
        <v>16.520267313533424</v>
      </c>
      <c r="K40" s="30" t="str">
        <f t="shared" si="0"/>
        <v>General|700to900</v>
      </c>
      <c r="L40" s="44"/>
      <c r="M40" s="125"/>
      <c r="N40" s="47"/>
      <c r="O40" s="44"/>
      <c r="P40" s="130"/>
    </row>
    <row r="41" spans="2:16" ht="17.25" customHeight="1" x14ac:dyDescent="0.25">
      <c r="B41" s="129"/>
      <c r="C41" s="178" t="s">
        <v>166</v>
      </c>
      <c r="D41" s="178" t="s">
        <v>173</v>
      </c>
      <c r="E41" s="178" t="b">
        <v>1</v>
      </c>
      <c r="F41" s="178" t="s">
        <v>172</v>
      </c>
      <c r="G41" s="178" t="s">
        <v>168</v>
      </c>
      <c r="H41" s="30" t="str">
        <f t="shared" si="1"/>
        <v>Berwick to Alnmouth Coast|General|TRUE|Over1500|FreeDrain</v>
      </c>
      <c r="I41" s="125">
        <v>0.49361287249690233</v>
      </c>
      <c r="J41" s="47">
        <v>28.199258104549866</v>
      </c>
      <c r="K41" s="30" t="str">
        <f t="shared" si="0"/>
        <v>General|Over1500</v>
      </c>
      <c r="L41" s="44">
        <f>AVERAGE(I41)</f>
        <v>0.49361287249690233</v>
      </c>
      <c r="M41" s="125">
        <f>AVERAGE(J41)</f>
        <v>28.199258104549866</v>
      </c>
      <c r="N41" s="47"/>
      <c r="O41" s="44"/>
      <c r="P41" s="130"/>
    </row>
    <row r="42" spans="2:16" ht="17.25" customHeight="1" x14ac:dyDescent="0.25">
      <c r="B42" s="129"/>
      <c r="C42" s="178" t="s">
        <v>166</v>
      </c>
      <c r="D42" s="178" t="s">
        <v>174</v>
      </c>
      <c r="E42" s="178" t="b">
        <v>0</v>
      </c>
      <c r="F42" s="178" t="s">
        <v>167</v>
      </c>
      <c r="G42" s="178" t="s">
        <v>168</v>
      </c>
      <c r="H42" s="30" t="str">
        <f t="shared" si="1"/>
        <v>Berwick to Alnmouth Coast|LFA|FALSE|600to700|FreeDrain</v>
      </c>
      <c r="I42" s="125">
        <v>4.1844213652995607E-2</v>
      </c>
      <c r="J42" s="47">
        <v>8.3942864718360521</v>
      </c>
      <c r="K42" s="30" t="str">
        <f t="shared" si="0"/>
        <v>LFA|600to700</v>
      </c>
      <c r="L42" s="44">
        <f>AVERAGE(I42:I43)</f>
        <v>0.17705303875313791</v>
      </c>
      <c r="M42" s="125">
        <f>AVERAGE(J42:J43)</f>
        <v>7.2448465083030218</v>
      </c>
      <c r="N42" s="47">
        <f>AVERAGE(I42:I48)</f>
        <v>0.25564558423455103</v>
      </c>
      <c r="O42" s="44">
        <f>AVERAGE(J42:J48)</f>
        <v>8.594637796681095</v>
      </c>
      <c r="P42" s="130"/>
    </row>
    <row r="43" spans="2:16" ht="17.25" customHeight="1" x14ac:dyDescent="0.25">
      <c r="B43" s="129"/>
      <c r="C43" s="178" t="s">
        <v>166</v>
      </c>
      <c r="D43" s="178" t="s">
        <v>174</v>
      </c>
      <c r="E43" s="178" t="b">
        <v>0</v>
      </c>
      <c r="F43" s="178" t="s">
        <v>167</v>
      </c>
      <c r="G43" s="178" t="s">
        <v>170</v>
      </c>
      <c r="H43" s="30" t="str">
        <f t="shared" si="1"/>
        <v>Berwick to Alnmouth Coast|LFA|FALSE|600to700|DrainedArGr</v>
      </c>
      <c r="I43" s="125">
        <v>0.3122618638532802</v>
      </c>
      <c r="J43" s="47">
        <v>6.0954065447699914</v>
      </c>
      <c r="K43" s="30" t="str">
        <f t="shared" si="0"/>
        <v>LFA|600to700</v>
      </c>
      <c r="L43" s="44"/>
      <c r="M43" s="125"/>
      <c r="N43" s="47"/>
      <c r="O43" s="44"/>
      <c r="P43" s="130"/>
    </row>
    <row r="44" spans="2:16" ht="17.25" customHeight="1" x14ac:dyDescent="0.25">
      <c r="B44" s="129"/>
      <c r="C44" s="178" t="s">
        <v>166</v>
      </c>
      <c r="D44" s="178" t="s">
        <v>174</v>
      </c>
      <c r="E44" s="178" t="b">
        <v>1</v>
      </c>
      <c r="F44" s="178" t="s">
        <v>167</v>
      </c>
      <c r="G44" s="178" t="s">
        <v>170</v>
      </c>
      <c r="H44" s="30" t="str">
        <f t="shared" si="1"/>
        <v>Berwick to Alnmouth Coast|LFA|TRUE|600to700|DrainedArGr</v>
      </c>
      <c r="I44" s="125">
        <v>0.31224331483683043</v>
      </c>
      <c r="J44" s="47">
        <v>6.0866442854954439</v>
      </c>
      <c r="K44" s="30" t="str">
        <f t="shared" si="0"/>
        <v>LFA|600to700</v>
      </c>
      <c r="L44" s="44"/>
      <c r="M44" s="125"/>
      <c r="N44" s="47"/>
      <c r="O44" s="44"/>
      <c r="P44" s="130"/>
    </row>
    <row r="45" spans="2:16" ht="17.25" customHeight="1" x14ac:dyDescent="0.25">
      <c r="B45" s="129"/>
      <c r="C45" s="178" t="s">
        <v>166</v>
      </c>
      <c r="D45" s="178" t="s">
        <v>174</v>
      </c>
      <c r="E45" s="178" t="b">
        <v>0</v>
      </c>
      <c r="F45" s="178" t="s">
        <v>171</v>
      </c>
      <c r="G45" s="178" t="s">
        <v>168</v>
      </c>
      <c r="H45" s="30" t="str">
        <f t="shared" si="1"/>
        <v>Berwick to Alnmouth Coast|LFA|FALSE|700to900|FreeDrain</v>
      </c>
      <c r="I45" s="125">
        <v>7.4762849062650308E-2</v>
      </c>
      <c r="J45" s="47">
        <v>11.989733506235192</v>
      </c>
      <c r="K45" s="30" t="str">
        <f t="shared" si="0"/>
        <v>LFA|700to900</v>
      </c>
      <c r="L45" s="44">
        <f>AVERAGE(I45,I47,I114)</f>
        <v>0.3186236859168538</v>
      </c>
      <c r="M45" s="125">
        <f>AVERAGE(J45,J47,J114)</f>
        <v>19.026361222994343</v>
      </c>
      <c r="N45" s="47"/>
      <c r="O45" s="44"/>
      <c r="P45" s="130"/>
    </row>
    <row r="46" spans="2:16" ht="17.25" customHeight="1" x14ac:dyDescent="0.25">
      <c r="B46" s="129"/>
      <c r="C46" s="178" t="s">
        <v>166</v>
      </c>
      <c r="D46" s="178" t="s">
        <v>174</v>
      </c>
      <c r="E46" s="178" t="b">
        <v>1</v>
      </c>
      <c r="F46" s="178" t="s">
        <v>171</v>
      </c>
      <c r="G46" s="178" t="s">
        <v>168</v>
      </c>
      <c r="H46" s="30" t="str">
        <f t="shared" si="1"/>
        <v>Berwick to Alnmouth Coast|LFA|TRUE|700to900|FreeDrain</v>
      </c>
      <c r="I46" s="125">
        <v>7.4762704107345798E-2</v>
      </c>
      <c r="J46" s="47">
        <v>11.93319742983077</v>
      </c>
      <c r="K46" s="30" t="str">
        <f t="shared" si="0"/>
        <v>LFA|700to900</v>
      </c>
      <c r="L46" s="44"/>
      <c r="M46" s="125"/>
      <c r="N46" s="47"/>
      <c r="O46" s="44"/>
      <c r="P46" s="130"/>
    </row>
    <row r="47" spans="2:16" ht="17.25" customHeight="1" x14ac:dyDescent="0.25">
      <c r="B47" s="129"/>
      <c r="C47" s="178" t="s">
        <v>166</v>
      </c>
      <c r="D47" s="178" t="s">
        <v>174</v>
      </c>
      <c r="E47" s="178" t="b">
        <v>0</v>
      </c>
      <c r="F47" s="178" t="s">
        <v>171</v>
      </c>
      <c r="G47" s="178" t="s">
        <v>170</v>
      </c>
      <c r="H47" s="30" t="str">
        <f t="shared" si="1"/>
        <v>Berwick to Alnmouth Coast|LFA|FALSE|700to900|DrainedArGr</v>
      </c>
      <c r="I47" s="125">
        <v>0.48683330086698201</v>
      </c>
      <c r="J47" s="47">
        <v>7.8366452180961863</v>
      </c>
      <c r="K47" s="30" t="str">
        <f t="shared" si="0"/>
        <v>LFA|700to900</v>
      </c>
      <c r="L47" s="44"/>
      <c r="M47" s="125"/>
      <c r="N47" s="47"/>
      <c r="O47" s="44"/>
      <c r="P47" s="130"/>
    </row>
    <row r="48" spans="2:16" ht="17.25" customHeight="1" x14ac:dyDescent="0.25">
      <c r="B48" s="129"/>
      <c r="C48" s="178" t="s">
        <v>166</v>
      </c>
      <c r="D48" s="178" t="s">
        <v>174</v>
      </c>
      <c r="E48" s="178" t="b">
        <v>1</v>
      </c>
      <c r="F48" s="178" t="s">
        <v>171</v>
      </c>
      <c r="G48" s="178" t="s">
        <v>170</v>
      </c>
      <c r="H48" s="30" t="str">
        <f t="shared" si="1"/>
        <v>Berwick to Alnmouth Coast|LFA|TRUE|700to900|DrainedArGr</v>
      </c>
      <c r="I48" s="125">
        <v>0.48681084326177293</v>
      </c>
      <c r="J48" s="47">
        <v>7.8265511205040346</v>
      </c>
      <c r="K48" s="30" t="str">
        <f t="shared" si="0"/>
        <v>LFA|700to900</v>
      </c>
      <c r="L48" s="44"/>
      <c r="M48" s="125"/>
      <c r="N48" s="47"/>
      <c r="O48" s="44"/>
      <c r="P48" s="130"/>
    </row>
    <row r="49" spans="2:16" ht="17.25" customHeight="1" x14ac:dyDescent="0.25">
      <c r="B49" s="129"/>
      <c r="C49" s="178" t="s">
        <v>166</v>
      </c>
      <c r="D49" s="178" t="s">
        <v>175</v>
      </c>
      <c r="E49" s="178" t="b">
        <v>0</v>
      </c>
      <c r="F49" s="178" t="s">
        <v>167</v>
      </c>
      <c r="G49" s="178" t="s">
        <v>169</v>
      </c>
      <c r="H49" s="30" t="str">
        <f t="shared" si="1"/>
        <v>Berwick to Alnmouth Coast|Lowland|FALSE|600to700|DrainedAr</v>
      </c>
      <c r="I49" s="125">
        <v>8.0927442984763981E-2</v>
      </c>
      <c r="J49" s="47">
        <v>8.8050531789701605</v>
      </c>
      <c r="K49" s="30" t="str">
        <f t="shared" si="0"/>
        <v>Lowland|600to700</v>
      </c>
      <c r="L49" s="44">
        <f>AVERAGE(I49,I51,I121)</f>
        <v>0.21836298161935674</v>
      </c>
      <c r="M49" s="125">
        <f>AVERAGE(J49,J51,J121)</f>
        <v>11.425841262540049</v>
      </c>
      <c r="N49" s="47">
        <f>AVERAGE(I49:I58)</f>
        <v>0.5730574706473528</v>
      </c>
      <c r="O49" s="44">
        <f>AVERAGE(J49:J58)</f>
        <v>14.649904310495549</v>
      </c>
      <c r="P49" s="130"/>
    </row>
    <row r="50" spans="2:16" ht="17.25" customHeight="1" x14ac:dyDescent="0.25">
      <c r="B50" s="129"/>
      <c r="C50" s="178" t="s">
        <v>166</v>
      </c>
      <c r="D50" s="178" t="s">
        <v>175</v>
      </c>
      <c r="E50" s="178" t="b">
        <v>1</v>
      </c>
      <c r="F50" s="178" t="s">
        <v>167</v>
      </c>
      <c r="G50" s="178" t="s">
        <v>169</v>
      </c>
      <c r="H50" s="30" t="str">
        <f t="shared" si="1"/>
        <v>Berwick to Alnmouth Coast|Lowland|TRUE|600to700|DrainedAr</v>
      </c>
      <c r="I50" s="125">
        <v>8.0927276066109499E-2</v>
      </c>
      <c r="J50" s="47">
        <v>8.7503736634651812</v>
      </c>
      <c r="K50" s="30" t="str">
        <f t="shared" si="0"/>
        <v>Lowland|600to700</v>
      </c>
      <c r="L50" s="44"/>
      <c r="M50" s="125"/>
      <c r="N50" s="47"/>
      <c r="O50" s="44"/>
      <c r="P50" s="130"/>
    </row>
    <row r="51" spans="2:16" ht="17.25" customHeight="1" x14ac:dyDescent="0.25">
      <c r="B51" s="129"/>
      <c r="C51" s="178" t="s">
        <v>166</v>
      </c>
      <c r="D51" s="178" t="s">
        <v>175</v>
      </c>
      <c r="E51" s="178" t="b">
        <v>0</v>
      </c>
      <c r="F51" s="178" t="s">
        <v>167</v>
      </c>
      <c r="G51" s="178" t="s">
        <v>170</v>
      </c>
      <c r="H51" s="30" t="str">
        <f t="shared" si="1"/>
        <v>Berwick to Alnmouth Coast|Lowland|FALSE|600to700|DrainedArGr</v>
      </c>
      <c r="I51" s="125">
        <v>0.47668473645791848</v>
      </c>
      <c r="J51" s="47">
        <v>8.5383985596323857</v>
      </c>
      <c r="K51" s="30" t="str">
        <f t="shared" si="0"/>
        <v>Lowland|600to700</v>
      </c>
      <c r="L51" s="44"/>
      <c r="M51" s="125"/>
      <c r="N51" s="47"/>
      <c r="O51" s="44"/>
      <c r="P51" s="130"/>
    </row>
    <row r="52" spans="2:16" ht="17.25" customHeight="1" x14ac:dyDescent="0.25">
      <c r="B52" s="129"/>
      <c r="C52" s="178" t="s">
        <v>166</v>
      </c>
      <c r="D52" s="178" t="s">
        <v>175</v>
      </c>
      <c r="E52" s="178" t="b">
        <v>1</v>
      </c>
      <c r="F52" s="178" t="s">
        <v>167</v>
      </c>
      <c r="G52" s="178" t="s">
        <v>170</v>
      </c>
      <c r="H52" s="30" t="str">
        <f t="shared" si="1"/>
        <v>Berwick to Alnmouth Coast|Lowland|TRUE|600to700|DrainedArGr</v>
      </c>
      <c r="I52" s="125">
        <v>0.47666218713582509</v>
      </c>
      <c r="J52" s="47">
        <v>8.5198298629868283</v>
      </c>
      <c r="K52" s="30" t="str">
        <f t="shared" si="0"/>
        <v>Lowland|600to700</v>
      </c>
      <c r="L52" s="44"/>
      <c r="M52" s="125"/>
      <c r="N52" s="47"/>
      <c r="O52" s="44"/>
      <c r="P52" s="130"/>
    </row>
    <row r="53" spans="2:16" ht="17.25" customHeight="1" x14ac:dyDescent="0.25">
      <c r="B53" s="129"/>
      <c r="C53" s="178" t="s">
        <v>166</v>
      </c>
      <c r="D53" s="178" t="s">
        <v>175</v>
      </c>
      <c r="E53" s="178" t="b">
        <v>0</v>
      </c>
      <c r="F53" s="178" t="s">
        <v>171</v>
      </c>
      <c r="G53" s="178" t="s">
        <v>168</v>
      </c>
      <c r="H53" s="30" t="str">
        <f t="shared" si="1"/>
        <v>Berwick to Alnmouth Coast|Lowland|FALSE|700to900|FreeDrain</v>
      </c>
      <c r="I53" s="125">
        <v>9.6603000000620651E-2</v>
      </c>
      <c r="J53" s="47">
        <v>18.49667808060066</v>
      </c>
      <c r="K53" s="30" t="str">
        <f t="shared" si="0"/>
        <v>Lowland|700to900</v>
      </c>
      <c r="L53" s="44">
        <f>AVERAGE(I53:I55)</f>
        <v>0.32554360825923773</v>
      </c>
      <c r="M53" s="125">
        <f>AVERAGE(J53:J55)</f>
        <v>14.535712422680946</v>
      </c>
      <c r="N53" s="47"/>
      <c r="O53" s="44"/>
      <c r="P53" s="130"/>
    </row>
    <row r="54" spans="2:16" ht="17.25" customHeight="1" x14ac:dyDescent="0.25">
      <c r="B54" s="129"/>
      <c r="C54" s="178" t="s">
        <v>166</v>
      </c>
      <c r="D54" s="178" t="s">
        <v>175</v>
      </c>
      <c r="E54" s="178" t="b">
        <v>0</v>
      </c>
      <c r="F54" s="178" t="s">
        <v>171</v>
      </c>
      <c r="G54" s="178" t="s">
        <v>169</v>
      </c>
      <c r="H54" s="30" t="str">
        <f t="shared" si="1"/>
        <v>Berwick to Alnmouth Coast|Lowland|FALSE|700to900|DrainedAr</v>
      </c>
      <c r="I54" s="125">
        <v>0.14031564162017421</v>
      </c>
      <c r="J54" s="47">
        <v>14.45927755870575</v>
      </c>
      <c r="K54" s="30" t="str">
        <f t="shared" si="0"/>
        <v>Lowland|700to900</v>
      </c>
      <c r="L54" s="44"/>
      <c r="M54" s="125"/>
      <c r="N54" s="47"/>
      <c r="O54" s="44"/>
      <c r="P54" s="130"/>
    </row>
    <row r="55" spans="2:16" ht="17.25" customHeight="1" x14ac:dyDescent="0.25">
      <c r="B55" s="129"/>
      <c r="C55" s="178" t="s">
        <v>166</v>
      </c>
      <c r="D55" s="178" t="s">
        <v>175</v>
      </c>
      <c r="E55" s="178" t="b">
        <v>0</v>
      </c>
      <c r="F55" s="178" t="s">
        <v>171</v>
      </c>
      <c r="G55" s="178" t="s">
        <v>170</v>
      </c>
      <c r="H55" s="30" t="str">
        <f t="shared" si="1"/>
        <v>Berwick to Alnmouth Coast|Lowland|FALSE|700to900|DrainedArGr</v>
      </c>
      <c r="I55" s="125">
        <v>0.73971218315691822</v>
      </c>
      <c r="J55" s="47">
        <v>10.651181628736433</v>
      </c>
      <c r="K55" s="30" t="str">
        <f t="shared" si="0"/>
        <v>Lowland|700to900</v>
      </c>
      <c r="L55" s="44"/>
      <c r="M55" s="125"/>
      <c r="N55" s="47"/>
      <c r="O55" s="44"/>
      <c r="P55" s="130"/>
    </row>
    <row r="56" spans="2:16" ht="17.25" customHeight="1" x14ac:dyDescent="0.25">
      <c r="B56" s="129"/>
      <c r="C56" s="178" t="s">
        <v>166</v>
      </c>
      <c r="D56" s="178" t="s">
        <v>175</v>
      </c>
      <c r="E56" s="178" t="b">
        <v>0</v>
      </c>
      <c r="F56" s="178" t="s">
        <v>172</v>
      </c>
      <c r="G56" s="178" t="s">
        <v>169</v>
      </c>
      <c r="H56" s="30" t="str">
        <f t="shared" si="1"/>
        <v>Berwick to Alnmouth Coast|Lowland|FALSE|Over1500|DrainedAr</v>
      </c>
      <c r="I56" s="125">
        <v>0.48977883346429046</v>
      </c>
      <c r="J56" s="47">
        <v>23.001075296084636</v>
      </c>
      <c r="K56" s="30" t="str">
        <f t="shared" si="0"/>
        <v>Lowland|Over1500</v>
      </c>
      <c r="L56" s="44">
        <f>AVERAGE(I56,I58)</f>
        <v>1.5744819119575442</v>
      </c>
      <c r="M56" s="125">
        <f>AVERAGE(J56,J58)</f>
        <v>22.701155380585458</v>
      </c>
      <c r="N56" s="47"/>
      <c r="O56" s="44"/>
      <c r="P56" s="130"/>
    </row>
    <row r="57" spans="2:16" ht="17.25" customHeight="1" x14ac:dyDescent="0.25">
      <c r="B57" s="129"/>
      <c r="C57" s="178" t="s">
        <v>166</v>
      </c>
      <c r="D57" s="178" t="s">
        <v>175</v>
      </c>
      <c r="E57" s="178" t="b">
        <v>1</v>
      </c>
      <c r="F57" s="178" t="s">
        <v>172</v>
      </c>
      <c r="G57" s="178" t="s">
        <v>169</v>
      </c>
      <c r="H57" s="30" t="str">
        <f t="shared" si="1"/>
        <v>Berwick to Alnmouth Coast|Lowland|TRUE|Over1500|DrainedAr</v>
      </c>
      <c r="I57" s="125">
        <v>0.48977841513610865</v>
      </c>
      <c r="J57" s="47">
        <v>22.875939810687171</v>
      </c>
      <c r="K57" s="30" t="str">
        <f t="shared" si="0"/>
        <v>Lowland|Over1500</v>
      </c>
      <c r="L57" s="44"/>
      <c r="M57" s="125"/>
      <c r="N57" s="47"/>
      <c r="O57" s="44"/>
      <c r="P57" s="130"/>
    </row>
    <row r="58" spans="2:16" ht="17.25" customHeight="1" x14ac:dyDescent="0.25">
      <c r="B58" s="129"/>
      <c r="C58" s="178" t="s">
        <v>166</v>
      </c>
      <c r="D58" s="178" t="s">
        <v>175</v>
      </c>
      <c r="E58" s="178" t="b">
        <v>1</v>
      </c>
      <c r="F58" s="178" t="s">
        <v>172</v>
      </c>
      <c r="G58" s="178" t="s">
        <v>170</v>
      </c>
      <c r="H58" s="30" t="str">
        <f t="shared" si="1"/>
        <v>Berwick to Alnmouth Coast|Lowland|TRUE|Over1500|DrainedArGr</v>
      </c>
      <c r="I58" s="125">
        <v>2.659184990450798</v>
      </c>
      <c r="J58" s="47">
        <v>22.40123546508628</v>
      </c>
      <c r="K58" s="30" t="str">
        <f t="shared" si="0"/>
        <v>Lowland|Over1500</v>
      </c>
      <c r="L58" s="44"/>
      <c r="M58" s="125"/>
      <c r="N58" s="47"/>
      <c r="O58" s="44"/>
      <c r="P58" s="130"/>
    </row>
    <row r="59" spans="2:16" ht="17.25" customHeight="1" x14ac:dyDescent="0.25">
      <c r="B59" s="129"/>
      <c r="C59" s="178" t="s">
        <v>166</v>
      </c>
      <c r="D59" s="178" t="s">
        <v>176</v>
      </c>
      <c r="E59" s="178" t="b">
        <v>1</v>
      </c>
      <c r="F59" s="178" t="s">
        <v>167</v>
      </c>
      <c r="G59" s="178" t="s">
        <v>168</v>
      </c>
      <c r="H59" s="30" t="str">
        <f t="shared" si="1"/>
        <v>Berwick to Alnmouth Coast|Mixed|TRUE|600to700|FreeDrain</v>
      </c>
      <c r="I59" s="125">
        <v>5.5852776250110585E-2</v>
      </c>
      <c r="J59" s="47">
        <v>21.800729636230045</v>
      </c>
      <c r="K59" s="30" t="str">
        <f t="shared" si="0"/>
        <v>Mixed|600to700</v>
      </c>
      <c r="L59" s="44">
        <f>AVERAGE(I59:I60,I62)</f>
        <v>0.2708816300432641</v>
      </c>
      <c r="M59" s="125">
        <f>AVERAGE(J59:J60,J62)</f>
        <v>17.591828908514575</v>
      </c>
      <c r="N59" s="47">
        <f>AVERAGE(I59:I67)</f>
        <v>0.60922114933770899</v>
      </c>
      <c r="O59" s="44">
        <f>AVERAGE(J59:J67)</f>
        <v>19.621786568140163</v>
      </c>
      <c r="P59" s="130"/>
    </row>
    <row r="60" spans="2:16" ht="17.25" customHeight="1" x14ac:dyDescent="0.25">
      <c r="B60" s="129"/>
      <c r="C60" s="178" t="s">
        <v>166</v>
      </c>
      <c r="D60" s="178" t="s">
        <v>176</v>
      </c>
      <c r="E60" s="178" t="b">
        <v>0</v>
      </c>
      <c r="F60" s="178" t="s">
        <v>167</v>
      </c>
      <c r="G60" s="178" t="s">
        <v>169</v>
      </c>
      <c r="H60" s="30" t="str">
        <f t="shared" si="1"/>
        <v>Berwick to Alnmouth Coast|Mixed|FALSE|600to700|DrainedAr</v>
      </c>
      <c r="I60" s="125">
        <v>0.19905127947766818</v>
      </c>
      <c r="J60" s="47">
        <v>15.460916559495782</v>
      </c>
      <c r="K60" s="30" t="str">
        <f t="shared" si="0"/>
        <v>Mixed|600to700</v>
      </c>
      <c r="L60" s="44"/>
      <c r="M60" s="125"/>
      <c r="N60" s="47"/>
      <c r="O60" s="35"/>
      <c r="P60" s="130"/>
    </row>
    <row r="61" spans="2:16" ht="17.25" customHeight="1" x14ac:dyDescent="0.25">
      <c r="B61" s="129"/>
      <c r="C61" s="178" t="s">
        <v>166</v>
      </c>
      <c r="D61" s="178" t="s">
        <v>176</v>
      </c>
      <c r="E61" s="178" t="b">
        <v>1</v>
      </c>
      <c r="F61" s="178" t="s">
        <v>167</v>
      </c>
      <c r="G61" s="178" t="s">
        <v>169</v>
      </c>
      <c r="H61" s="30" t="str">
        <f t="shared" si="1"/>
        <v>Berwick to Alnmouth Coast|Mixed|TRUE|600to700|DrainedAr</v>
      </c>
      <c r="I61" s="125">
        <v>0.1982082591057151</v>
      </c>
      <c r="J61" s="47">
        <v>15.321757667918241</v>
      </c>
      <c r="K61" s="30" t="str">
        <f t="shared" si="0"/>
        <v>Mixed|600to700</v>
      </c>
      <c r="L61" s="44"/>
      <c r="M61" s="125"/>
      <c r="N61" s="47"/>
      <c r="O61" s="35"/>
      <c r="P61" s="130"/>
    </row>
    <row r="62" spans="2:16" ht="17.25" customHeight="1" x14ac:dyDescent="0.25">
      <c r="B62" s="129"/>
      <c r="C62" s="178" t="s">
        <v>166</v>
      </c>
      <c r="D62" s="178" t="s">
        <v>176</v>
      </c>
      <c r="E62" s="178" t="b">
        <v>0</v>
      </c>
      <c r="F62" s="178" t="s">
        <v>167</v>
      </c>
      <c r="G62" s="178" t="s">
        <v>170</v>
      </c>
      <c r="H62" s="30" t="str">
        <f t="shared" si="1"/>
        <v>Berwick to Alnmouth Coast|Mixed|FALSE|600to700|DrainedArGr</v>
      </c>
      <c r="I62" s="125">
        <v>0.55774083440201361</v>
      </c>
      <c r="J62" s="47">
        <v>15.513840529817898</v>
      </c>
      <c r="K62" s="30" t="str">
        <f t="shared" si="0"/>
        <v>Mixed|600to700</v>
      </c>
      <c r="L62" s="44"/>
      <c r="M62" s="125"/>
      <c r="N62" s="47"/>
      <c r="O62" s="35"/>
      <c r="P62" s="130"/>
    </row>
    <row r="63" spans="2:16" ht="17.25" customHeight="1" x14ac:dyDescent="0.25">
      <c r="B63" s="129"/>
      <c r="C63" s="178" t="s">
        <v>166</v>
      </c>
      <c r="D63" s="178" t="s">
        <v>176</v>
      </c>
      <c r="E63" s="178" t="b">
        <v>1</v>
      </c>
      <c r="F63" s="178" t="s">
        <v>167</v>
      </c>
      <c r="G63" s="178" t="s">
        <v>170</v>
      </c>
      <c r="H63" s="30" t="str">
        <f t="shared" si="1"/>
        <v>Berwick to Alnmouth Coast|Mixed|TRUE|600to700|DrainedArGr</v>
      </c>
      <c r="I63" s="125">
        <v>0.55526207727448695</v>
      </c>
      <c r="J63" s="47">
        <v>15.352225658644569</v>
      </c>
      <c r="K63" s="30" t="str">
        <f t="shared" si="0"/>
        <v>Mixed|600to700</v>
      </c>
      <c r="L63" s="44"/>
      <c r="M63" s="125"/>
      <c r="N63" s="47"/>
      <c r="O63" s="35"/>
      <c r="P63" s="130"/>
    </row>
    <row r="64" spans="2:16" ht="17.25" customHeight="1" x14ac:dyDescent="0.25">
      <c r="B64" s="129"/>
      <c r="C64" s="178" t="s">
        <v>166</v>
      </c>
      <c r="D64" s="178" t="s">
        <v>176</v>
      </c>
      <c r="E64" s="178" t="b">
        <v>0</v>
      </c>
      <c r="F64" s="178" t="s">
        <v>171</v>
      </c>
      <c r="G64" s="178" t="s">
        <v>169</v>
      </c>
      <c r="H64" s="30" t="str">
        <f t="shared" si="1"/>
        <v>Berwick to Alnmouth Coast|Mixed|FALSE|700to900|DrainedAr</v>
      </c>
      <c r="I64" s="125">
        <v>0.42216511948152835</v>
      </c>
      <c r="J64" s="47">
        <v>21.470644816746884</v>
      </c>
      <c r="K64" s="30" t="str">
        <f t="shared" si="0"/>
        <v>Mixed|700to900</v>
      </c>
      <c r="L64" s="44">
        <f>AVERAGE(I64:I65,I143)</f>
        <v>0.59174071776820136</v>
      </c>
      <c r="M64" s="125">
        <f>AVERAGE(J64:J65,J143)</f>
        <v>37.201886652623422</v>
      </c>
      <c r="N64" s="47"/>
      <c r="O64" s="35"/>
      <c r="P64" s="130"/>
    </row>
    <row r="65" spans="2:16" ht="17.25" customHeight="1" x14ac:dyDescent="0.25">
      <c r="B65" s="129"/>
      <c r="C65" s="178" t="s">
        <v>166</v>
      </c>
      <c r="D65" s="178" t="s">
        <v>176</v>
      </c>
      <c r="E65" s="178" t="b">
        <v>0</v>
      </c>
      <c r="F65" s="178" t="s">
        <v>171</v>
      </c>
      <c r="G65" s="178" t="s">
        <v>170</v>
      </c>
      <c r="H65" s="30" t="str">
        <f t="shared" si="1"/>
        <v>Berwick to Alnmouth Coast|Mixed|FALSE|700to900|DrainedArGr</v>
      </c>
      <c r="I65" s="125">
        <v>0.9160993915714154</v>
      </c>
      <c r="J65" s="47">
        <v>17.744522543625184</v>
      </c>
      <c r="K65" s="30" t="str">
        <f t="shared" si="0"/>
        <v>Mixed|700to900</v>
      </c>
      <c r="L65" s="44"/>
      <c r="M65" s="125"/>
      <c r="N65" s="47"/>
      <c r="O65" s="35"/>
      <c r="P65" s="130"/>
    </row>
    <row r="66" spans="2:16" ht="17.25" customHeight="1" x14ac:dyDescent="0.25">
      <c r="B66" s="129"/>
      <c r="C66" s="178" t="s">
        <v>166</v>
      </c>
      <c r="D66" s="178" t="s">
        <v>176</v>
      </c>
      <c r="E66" s="178" t="b">
        <v>1</v>
      </c>
      <c r="F66" s="178" t="s">
        <v>171</v>
      </c>
      <c r="G66" s="178" t="s">
        <v>170</v>
      </c>
      <c r="H66" s="30" t="str">
        <f t="shared" si="1"/>
        <v>Berwick to Alnmouth Coast|Mixed|TRUE|700to900|DrainedArGr</v>
      </c>
      <c r="I66" s="125">
        <v>0.91305713991330417</v>
      </c>
      <c r="J66" s="47">
        <v>17.544675781347706</v>
      </c>
      <c r="K66" s="30" t="str">
        <f t="shared" si="0"/>
        <v>Mixed|700to900</v>
      </c>
      <c r="L66" s="44"/>
      <c r="M66" s="125"/>
      <c r="N66" s="47"/>
      <c r="O66" s="35"/>
      <c r="P66" s="130"/>
    </row>
    <row r="67" spans="2:16" ht="17.25" customHeight="1" x14ac:dyDescent="0.25">
      <c r="B67" s="129"/>
      <c r="C67" s="178" t="s">
        <v>166</v>
      </c>
      <c r="D67" s="178" t="s">
        <v>176</v>
      </c>
      <c r="E67" s="178" t="b">
        <v>0</v>
      </c>
      <c r="F67" s="178" t="s">
        <v>172</v>
      </c>
      <c r="G67" s="178" t="s">
        <v>169</v>
      </c>
      <c r="H67" s="30" t="str">
        <f t="shared" si="1"/>
        <v>Berwick to Alnmouth Coast|Mixed|FALSE|Over1500|DrainedAr</v>
      </c>
      <c r="I67" s="125">
        <v>1.6655534665631389</v>
      </c>
      <c r="J67" s="47">
        <v>36.386765919435121</v>
      </c>
      <c r="K67" s="30" t="str">
        <f t="shared" si="0"/>
        <v>Mixed|Over1500</v>
      </c>
      <c r="L67" s="44">
        <f>AVERAGE(I67,I147)</f>
        <v>3.3108728762184816</v>
      </c>
      <c r="M67" s="125">
        <f>AVERAGE(J67,J147)</f>
        <v>66.936865195729936</v>
      </c>
      <c r="N67" s="47"/>
      <c r="O67" s="35"/>
      <c r="P67" s="130"/>
    </row>
    <row r="68" spans="2:16" ht="17.25" customHeight="1" x14ac:dyDescent="0.25">
      <c r="B68" s="129"/>
      <c r="C68" s="178" t="s">
        <v>177</v>
      </c>
      <c r="D68" s="178" t="s">
        <v>111</v>
      </c>
      <c r="E68" s="178" t="b">
        <v>0</v>
      </c>
      <c r="F68" s="178" t="s">
        <v>167</v>
      </c>
      <c r="G68" s="178" t="s">
        <v>168</v>
      </c>
      <c r="H68" s="30" t="str">
        <f>D68&amp;"|"&amp;E68&amp;"|"&amp;F68&amp;"|"&amp;G68</f>
        <v>Cereals|FALSE|600to700|FreeDrain</v>
      </c>
      <c r="I68" s="125">
        <v>0.21963855962089351</v>
      </c>
      <c r="J68" s="44">
        <v>93.449587939779619</v>
      </c>
      <c r="K68" s="27"/>
      <c r="L68" s="28"/>
      <c r="M68" s="28"/>
      <c r="N68" s="28"/>
      <c r="O68" s="28"/>
      <c r="P68" s="130"/>
    </row>
    <row r="69" spans="2:16" ht="17.25" customHeight="1" x14ac:dyDescent="0.25">
      <c r="B69" s="129"/>
      <c r="C69" s="178" t="s">
        <v>177</v>
      </c>
      <c r="D69" s="178" t="s">
        <v>111</v>
      </c>
      <c r="E69" s="178" t="b">
        <v>1</v>
      </c>
      <c r="F69" s="178" t="s">
        <v>167</v>
      </c>
      <c r="G69" s="178" t="s">
        <v>168</v>
      </c>
      <c r="H69" s="30" t="str">
        <f t="shared" ref="H69:H132" si="2">D69&amp;"|"&amp;E69&amp;"|"&amp;F69&amp;"|"&amp;G69</f>
        <v>Cereals|TRUE|600to700|FreeDrain</v>
      </c>
      <c r="I69" s="125">
        <v>0.21960444988210354</v>
      </c>
      <c r="J69" s="44">
        <v>93.141144946791357</v>
      </c>
      <c r="K69" s="27"/>
      <c r="L69" s="28"/>
      <c r="M69" s="28"/>
      <c r="N69" s="28"/>
      <c r="O69" s="28"/>
      <c r="P69" s="130"/>
    </row>
    <row r="70" spans="2:16" ht="17.25" customHeight="1" x14ac:dyDescent="0.25">
      <c r="B70" s="129"/>
      <c r="C70" s="178" t="s">
        <v>177</v>
      </c>
      <c r="D70" s="178" t="s">
        <v>111</v>
      </c>
      <c r="E70" s="178" t="b">
        <v>0</v>
      </c>
      <c r="F70" s="178" t="s">
        <v>167</v>
      </c>
      <c r="G70" s="178" t="s">
        <v>169</v>
      </c>
      <c r="H70" s="30" t="str">
        <f t="shared" si="2"/>
        <v>Cereals|FALSE|600to700|DrainedAr</v>
      </c>
      <c r="I70" s="125">
        <v>1.1823662276867215</v>
      </c>
      <c r="J70" s="44">
        <v>68.609483491339546</v>
      </c>
      <c r="K70" s="27"/>
      <c r="L70" s="28"/>
      <c r="M70" s="28"/>
      <c r="N70" s="28"/>
      <c r="O70" s="28"/>
      <c r="P70" s="130"/>
    </row>
    <row r="71" spans="2:16" ht="17.25" customHeight="1" x14ac:dyDescent="0.25">
      <c r="B71" s="129"/>
      <c r="C71" s="178" t="s">
        <v>177</v>
      </c>
      <c r="D71" s="178" t="s">
        <v>111</v>
      </c>
      <c r="E71" s="178" t="b">
        <v>1</v>
      </c>
      <c r="F71" s="178" t="s">
        <v>167</v>
      </c>
      <c r="G71" s="178" t="s">
        <v>169</v>
      </c>
      <c r="H71" s="30" t="str">
        <f t="shared" si="2"/>
        <v>Cereals|TRUE|600to700|DrainedAr</v>
      </c>
      <c r="I71" s="125">
        <v>1.1821953157866136</v>
      </c>
      <c r="J71" s="44">
        <v>68.396135878983486</v>
      </c>
      <c r="K71" s="27"/>
      <c r="L71" s="28"/>
      <c r="M71" s="28"/>
      <c r="N71" s="28"/>
      <c r="O71" s="28"/>
      <c r="P71" s="130"/>
    </row>
    <row r="72" spans="2:16" ht="17.25" customHeight="1" x14ac:dyDescent="0.25">
      <c r="B72" s="129"/>
      <c r="C72" s="178" t="s">
        <v>177</v>
      </c>
      <c r="D72" s="178" t="s">
        <v>111</v>
      </c>
      <c r="E72" s="178" t="b">
        <v>0</v>
      </c>
      <c r="F72" s="178" t="s">
        <v>167</v>
      </c>
      <c r="G72" s="178" t="s">
        <v>170</v>
      </c>
      <c r="H72" s="30" t="str">
        <f t="shared" si="2"/>
        <v>Cereals|FALSE|600to700|DrainedArGr</v>
      </c>
      <c r="I72" s="125">
        <v>2.0406139447305689</v>
      </c>
      <c r="J72" s="44">
        <v>73.220275973242082</v>
      </c>
      <c r="K72" s="27"/>
      <c r="L72" s="28"/>
      <c r="M72" s="28"/>
      <c r="N72" s="28"/>
      <c r="O72" s="28"/>
      <c r="P72" s="130"/>
    </row>
    <row r="73" spans="2:16" ht="17.25" customHeight="1" x14ac:dyDescent="0.25">
      <c r="B73" s="129"/>
      <c r="C73" s="178" t="s">
        <v>177</v>
      </c>
      <c r="D73" s="178" t="s">
        <v>111</v>
      </c>
      <c r="E73" s="178" t="b">
        <v>1</v>
      </c>
      <c r="F73" s="178" t="s">
        <v>167</v>
      </c>
      <c r="G73" s="178" t="s">
        <v>170</v>
      </c>
      <c r="H73" s="30" t="str">
        <f t="shared" si="2"/>
        <v>Cereals|TRUE|600to700|DrainedArGr</v>
      </c>
      <c r="I73" s="125">
        <v>2.0401111011326143</v>
      </c>
      <c r="J73" s="44">
        <v>73.008799800559558</v>
      </c>
      <c r="K73" s="27"/>
      <c r="L73" s="28"/>
      <c r="M73" s="28"/>
      <c r="N73" s="28"/>
      <c r="O73" s="28"/>
      <c r="P73" s="130"/>
    </row>
    <row r="74" spans="2:16" ht="17.25" customHeight="1" x14ac:dyDescent="0.25">
      <c r="B74" s="129"/>
      <c r="C74" s="178" t="s">
        <v>177</v>
      </c>
      <c r="D74" s="178" t="s">
        <v>111</v>
      </c>
      <c r="E74" s="178" t="b">
        <v>0</v>
      </c>
      <c r="F74" s="178" t="s">
        <v>171</v>
      </c>
      <c r="G74" s="178" t="s">
        <v>168</v>
      </c>
      <c r="H74" s="30" t="str">
        <f t="shared" si="2"/>
        <v>Cereals|FALSE|700to900|FreeDrain</v>
      </c>
      <c r="I74" s="125">
        <v>0.60691530775939373</v>
      </c>
      <c r="J74" s="44">
        <v>112.28353412837333</v>
      </c>
      <c r="K74" s="27"/>
      <c r="L74" s="28"/>
      <c r="M74" s="28"/>
      <c r="N74" s="28"/>
      <c r="O74" s="28"/>
      <c r="P74" s="130"/>
    </row>
    <row r="75" spans="2:16" ht="17.25" customHeight="1" x14ac:dyDescent="0.25">
      <c r="B75" s="129"/>
      <c r="C75" s="178" t="s">
        <v>177</v>
      </c>
      <c r="D75" s="178" t="s">
        <v>111</v>
      </c>
      <c r="E75" s="178" t="b">
        <v>0</v>
      </c>
      <c r="F75" s="178" t="s">
        <v>171</v>
      </c>
      <c r="G75" s="178" t="s">
        <v>169</v>
      </c>
      <c r="H75" s="30" t="str">
        <f t="shared" si="2"/>
        <v>Cereals|FALSE|700to900|DrainedAr</v>
      </c>
      <c r="I75" s="125">
        <v>2.546491616737407</v>
      </c>
      <c r="J75" s="44">
        <v>86.398642515881946</v>
      </c>
      <c r="K75" s="27"/>
      <c r="L75" s="28"/>
      <c r="M75" s="28"/>
      <c r="N75" s="28"/>
      <c r="O75" s="28"/>
      <c r="P75" s="130"/>
    </row>
    <row r="76" spans="2:16" ht="17.25" customHeight="1" x14ac:dyDescent="0.25">
      <c r="B76" s="129"/>
      <c r="C76" s="178" t="s">
        <v>177</v>
      </c>
      <c r="D76" s="178" t="s">
        <v>111</v>
      </c>
      <c r="E76" s="178" t="b">
        <v>1</v>
      </c>
      <c r="F76" s="178" t="s">
        <v>171</v>
      </c>
      <c r="G76" s="178" t="s">
        <v>169</v>
      </c>
      <c r="H76" s="30" t="str">
        <f t="shared" si="2"/>
        <v>Cereals|TRUE|700to900|DrainedAr</v>
      </c>
      <c r="I76" s="125">
        <v>2.5462464035001204</v>
      </c>
      <c r="J76" s="44">
        <v>86.136710125611131</v>
      </c>
      <c r="K76" s="27"/>
      <c r="L76" s="28"/>
      <c r="M76" s="28"/>
      <c r="N76" s="28"/>
      <c r="O76" s="28"/>
      <c r="P76" s="130"/>
    </row>
    <row r="77" spans="2:16" ht="17.25" customHeight="1" x14ac:dyDescent="0.25">
      <c r="B77" s="129"/>
      <c r="C77" s="178" t="s">
        <v>177</v>
      </c>
      <c r="D77" s="178" t="s">
        <v>111</v>
      </c>
      <c r="E77" s="178" t="b">
        <v>0</v>
      </c>
      <c r="F77" s="178" t="s">
        <v>171</v>
      </c>
      <c r="G77" s="178" t="s">
        <v>170</v>
      </c>
      <c r="H77" s="30" t="str">
        <f t="shared" si="2"/>
        <v>Cereals|FALSE|700to900|DrainedArGr</v>
      </c>
      <c r="I77" s="125">
        <v>3.600674434835724</v>
      </c>
      <c r="J77" s="44">
        <v>80.741522922778344</v>
      </c>
      <c r="K77" s="27"/>
      <c r="L77" s="28"/>
      <c r="M77" s="28"/>
      <c r="N77" s="28"/>
      <c r="O77" s="28"/>
      <c r="P77" s="130"/>
    </row>
    <row r="78" spans="2:16" ht="17.25" customHeight="1" x14ac:dyDescent="0.25">
      <c r="B78" s="129"/>
      <c r="C78" s="178" t="s">
        <v>177</v>
      </c>
      <c r="D78" s="178" t="s">
        <v>111</v>
      </c>
      <c r="E78" s="178" t="b">
        <v>1</v>
      </c>
      <c r="F78" s="178" t="s">
        <v>171</v>
      </c>
      <c r="G78" s="178" t="s">
        <v>170</v>
      </c>
      <c r="H78" s="30" t="str">
        <f t="shared" si="2"/>
        <v>Cereals|TRUE|700to900|DrainedArGr</v>
      </c>
      <c r="I78" s="125">
        <v>3.6000149456902508</v>
      </c>
      <c r="J78" s="44">
        <v>80.522896273313449</v>
      </c>
      <c r="K78" s="27"/>
      <c r="L78" s="28"/>
      <c r="M78" s="28"/>
      <c r="N78" s="28"/>
      <c r="O78" s="28"/>
      <c r="P78" s="130"/>
    </row>
    <row r="79" spans="2:16" ht="17.25" customHeight="1" x14ac:dyDescent="0.25">
      <c r="B79" s="129"/>
      <c r="C79" s="178" t="s">
        <v>177</v>
      </c>
      <c r="D79" s="178" t="s">
        <v>111</v>
      </c>
      <c r="E79" s="178" t="b">
        <v>0</v>
      </c>
      <c r="F79" s="178" t="s">
        <v>178</v>
      </c>
      <c r="G79" s="178" t="s">
        <v>168</v>
      </c>
      <c r="H79" s="30" t="str">
        <f t="shared" si="2"/>
        <v>Cereals|FALSE|900to1200|FreeDrain</v>
      </c>
      <c r="I79" s="125">
        <v>1.0541626995165183</v>
      </c>
      <c r="J79" s="44">
        <v>119.29489568860869</v>
      </c>
      <c r="K79" s="27"/>
      <c r="L79" s="28"/>
      <c r="M79" s="28"/>
      <c r="N79" s="28"/>
      <c r="O79" s="28"/>
      <c r="P79" s="130"/>
    </row>
    <row r="80" spans="2:16" ht="17.25" customHeight="1" x14ac:dyDescent="0.25">
      <c r="B80" s="129"/>
      <c r="C80" s="178" t="s">
        <v>177</v>
      </c>
      <c r="D80" s="178" t="s">
        <v>111</v>
      </c>
      <c r="E80" s="178" t="b">
        <v>0</v>
      </c>
      <c r="F80" s="178" t="s">
        <v>178</v>
      </c>
      <c r="G80" s="178" t="s">
        <v>169</v>
      </c>
      <c r="H80" s="30" t="str">
        <f t="shared" si="2"/>
        <v>Cereals|FALSE|900to1200|DrainedAr</v>
      </c>
      <c r="I80" s="125">
        <v>4.7933935417648996</v>
      </c>
      <c r="J80" s="44">
        <v>110.56370718267176</v>
      </c>
      <c r="K80" s="27"/>
      <c r="L80" s="28"/>
      <c r="M80" s="28"/>
      <c r="N80" s="28"/>
      <c r="O80" s="28"/>
      <c r="P80" s="130"/>
    </row>
    <row r="81" spans="2:16" ht="17.25" customHeight="1" x14ac:dyDescent="0.25">
      <c r="B81" s="129"/>
      <c r="C81" s="178" t="s">
        <v>177</v>
      </c>
      <c r="D81" s="178" t="s">
        <v>111</v>
      </c>
      <c r="E81" s="178" t="b">
        <v>0</v>
      </c>
      <c r="F81" s="178" t="s">
        <v>178</v>
      </c>
      <c r="G81" s="178" t="s">
        <v>170</v>
      </c>
      <c r="H81" s="30" t="str">
        <f t="shared" si="2"/>
        <v>Cereals|FALSE|900to1200|DrainedArGr</v>
      </c>
      <c r="I81" s="125">
        <v>5.9078639761185521</v>
      </c>
      <c r="J81" s="44">
        <v>93.534870238706503</v>
      </c>
      <c r="K81" s="27"/>
      <c r="L81" s="28"/>
      <c r="M81" s="28"/>
      <c r="N81" s="28"/>
      <c r="O81" s="28"/>
      <c r="P81" s="130"/>
    </row>
    <row r="82" spans="2:16" ht="17.25" customHeight="1" x14ac:dyDescent="0.25">
      <c r="B82" s="129"/>
      <c r="C82" s="178" t="s">
        <v>177</v>
      </c>
      <c r="D82" s="178" t="s">
        <v>111</v>
      </c>
      <c r="E82" s="178" t="b">
        <v>1</v>
      </c>
      <c r="F82" s="178" t="s">
        <v>172</v>
      </c>
      <c r="G82" s="178" t="s">
        <v>168</v>
      </c>
      <c r="H82" s="30" t="str">
        <f t="shared" si="2"/>
        <v>Cereals|TRUE|Over1500|FreeDrain</v>
      </c>
      <c r="I82" s="125">
        <v>2.8712369013078578</v>
      </c>
      <c r="J82" s="44">
        <v>124.97472024694666</v>
      </c>
      <c r="K82" s="27"/>
      <c r="L82" s="28"/>
      <c r="M82" s="28"/>
      <c r="N82" s="28"/>
      <c r="O82" s="28"/>
      <c r="P82" s="130"/>
    </row>
    <row r="83" spans="2:16" ht="17.25" customHeight="1" x14ac:dyDescent="0.25">
      <c r="B83" s="129"/>
      <c r="C83" s="178" t="s">
        <v>177</v>
      </c>
      <c r="D83" s="178" t="s">
        <v>111</v>
      </c>
      <c r="E83" s="178" t="b">
        <v>0</v>
      </c>
      <c r="F83" s="178" t="s">
        <v>172</v>
      </c>
      <c r="G83" s="178" t="s">
        <v>169</v>
      </c>
      <c r="H83" s="30" t="str">
        <f t="shared" si="2"/>
        <v>Cereals|FALSE|Over1500|DrainedAr</v>
      </c>
      <c r="I83" s="125">
        <v>10.087003399691614</v>
      </c>
      <c r="J83" s="44">
        <v>161.54967162871679</v>
      </c>
      <c r="K83" s="27"/>
      <c r="L83" s="28"/>
      <c r="M83" s="28"/>
      <c r="N83" s="28"/>
      <c r="O83" s="28"/>
      <c r="P83" s="130"/>
    </row>
    <row r="84" spans="2:16" ht="17.25" customHeight="1" x14ac:dyDescent="0.25">
      <c r="B84" s="129"/>
      <c r="C84" s="178" t="s">
        <v>177</v>
      </c>
      <c r="D84" s="178" t="s">
        <v>111</v>
      </c>
      <c r="E84" s="178" t="b">
        <v>0</v>
      </c>
      <c r="F84" s="178" t="s">
        <v>172</v>
      </c>
      <c r="G84" s="178" t="s">
        <v>170</v>
      </c>
      <c r="H84" s="30" t="str">
        <f t="shared" si="2"/>
        <v>Cereals|FALSE|Over1500|DrainedArGr</v>
      </c>
      <c r="I84" s="125">
        <v>16.325992694138577</v>
      </c>
      <c r="J84" s="44">
        <v>140.03127245085045</v>
      </c>
      <c r="K84" s="27"/>
      <c r="L84" s="28"/>
      <c r="M84" s="28"/>
      <c r="N84" s="28"/>
      <c r="O84" s="28"/>
      <c r="P84" s="130"/>
    </row>
    <row r="85" spans="2:16" ht="17.25" customHeight="1" x14ac:dyDescent="0.25">
      <c r="B85" s="129"/>
      <c r="C85" s="178" t="s">
        <v>177</v>
      </c>
      <c r="D85" s="178" t="s">
        <v>173</v>
      </c>
      <c r="E85" s="178" t="b">
        <v>0</v>
      </c>
      <c r="F85" s="178" t="s">
        <v>167</v>
      </c>
      <c r="G85" s="178" t="s">
        <v>168</v>
      </c>
      <c r="H85" s="30" t="str">
        <f t="shared" si="2"/>
        <v>General|FALSE|600to700|FreeDrain</v>
      </c>
      <c r="I85" s="125">
        <v>8.5305686480383378E-2</v>
      </c>
      <c r="J85" s="44">
        <v>34.395955190655812</v>
      </c>
      <c r="K85" s="27"/>
      <c r="L85" s="28"/>
      <c r="M85" s="28"/>
      <c r="N85" s="28"/>
      <c r="O85" s="28"/>
      <c r="P85" s="130"/>
    </row>
    <row r="86" spans="2:16" ht="17.25" customHeight="1" x14ac:dyDescent="0.25">
      <c r="B86" s="129"/>
      <c r="C86" s="178" t="s">
        <v>177</v>
      </c>
      <c r="D86" s="178" t="s">
        <v>173</v>
      </c>
      <c r="E86" s="178" t="b">
        <v>0</v>
      </c>
      <c r="F86" s="178" t="s">
        <v>167</v>
      </c>
      <c r="G86" s="178" t="s">
        <v>169</v>
      </c>
      <c r="H86" s="30" t="str">
        <f t="shared" si="2"/>
        <v>General|FALSE|600to700|DrainedAr</v>
      </c>
      <c r="I86" s="125">
        <v>0.37233805288239236</v>
      </c>
      <c r="J86" s="44">
        <v>24.130262226554617</v>
      </c>
      <c r="K86" s="27"/>
      <c r="L86" s="28"/>
      <c r="M86" s="28"/>
      <c r="N86" s="28"/>
      <c r="O86" s="28"/>
      <c r="P86" s="130"/>
    </row>
    <row r="87" spans="2:16" ht="17.25" customHeight="1" x14ac:dyDescent="0.25">
      <c r="B87" s="129"/>
      <c r="C87" s="178" t="s">
        <v>177</v>
      </c>
      <c r="D87" s="178" t="s">
        <v>173</v>
      </c>
      <c r="E87" s="178" t="b">
        <v>1</v>
      </c>
      <c r="F87" s="178" t="s">
        <v>167</v>
      </c>
      <c r="G87" s="178" t="s">
        <v>169</v>
      </c>
      <c r="H87" s="30" t="str">
        <f t="shared" si="2"/>
        <v>General|TRUE|600to700|DrainedAr</v>
      </c>
      <c r="I87" s="125">
        <v>0.37233805288239236</v>
      </c>
      <c r="J87" s="44">
        <v>24.067052917262991</v>
      </c>
      <c r="K87" s="27"/>
      <c r="L87" s="28"/>
      <c r="M87" s="28"/>
      <c r="N87" s="28"/>
      <c r="O87" s="28"/>
      <c r="P87" s="130"/>
    </row>
    <row r="88" spans="2:16" ht="17.25" customHeight="1" x14ac:dyDescent="0.25">
      <c r="B88" s="129"/>
      <c r="C88" s="178" t="s">
        <v>177</v>
      </c>
      <c r="D88" s="178" t="s">
        <v>173</v>
      </c>
      <c r="E88" s="178" t="b">
        <v>0</v>
      </c>
      <c r="F88" s="178" t="s">
        <v>167</v>
      </c>
      <c r="G88" s="178" t="s">
        <v>170</v>
      </c>
      <c r="H88" s="30" t="str">
        <f t="shared" si="2"/>
        <v>General|FALSE|600to700|DrainedArGr</v>
      </c>
      <c r="I88" s="125">
        <v>0.73784995490871652</v>
      </c>
      <c r="J88" s="44">
        <v>24.785163561940276</v>
      </c>
      <c r="K88" s="27"/>
      <c r="L88" s="28"/>
      <c r="M88" s="28"/>
      <c r="N88" s="28"/>
      <c r="O88" s="28"/>
      <c r="P88" s="130"/>
    </row>
    <row r="89" spans="2:16" ht="17.25" customHeight="1" x14ac:dyDescent="0.25">
      <c r="B89" s="129"/>
      <c r="C89" s="178" t="s">
        <v>177</v>
      </c>
      <c r="D89" s="178" t="s">
        <v>173</v>
      </c>
      <c r="E89" s="178" t="b">
        <v>1</v>
      </c>
      <c r="F89" s="178" t="s">
        <v>167</v>
      </c>
      <c r="G89" s="178" t="s">
        <v>170</v>
      </c>
      <c r="H89" s="30" t="str">
        <f t="shared" si="2"/>
        <v>General|TRUE|600to700|DrainedArGr</v>
      </c>
      <c r="I89" s="125">
        <v>0.73784995490871652</v>
      </c>
      <c r="J89" s="44">
        <v>24.724449310193094</v>
      </c>
      <c r="K89" s="27"/>
      <c r="L89" s="28"/>
      <c r="M89" s="28"/>
      <c r="N89" s="28"/>
      <c r="O89" s="28"/>
      <c r="P89" s="130"/>
    </row>
    <row r="90" spans="2:16" ht="17.25" customHeight="1" x14ac:dyDescent="0.25">
      <c r="B90" s="129"/>
      <c r="C90" s="178" t="s">
        <v>177</v>
      </c>
      <c r="D90" s="178" t="s">
        <v>173</v>
      </c>
      <c r="E90" s="178" t="b">
        <v>0</v>
      </c>
      <c r="F90" s="178" t="s">
        <v>171</v>
      </c>
      <c r="G90" s="178" t="s">
        <v>168</v>
      </c>
      <c r="H90" s="30" t="str">
        <f t="shared" si="2"/>
        <v>General|FALSE|700to900|FreeDrain</v>
      </c>
      <c r="I90" s="125">
        <v>0.22708475782120596</v>
      </c>
      <c r="J90" s="44">
        <v>41.260507953589254</v>
      </c>
      <c r="K90" s="27"/>
      <c r="L90" s="28"/>
      <c r="M90" s="28"/>
      <c r="N90" s="28"/>
      <c r="O90" s="28"/>
      <c r="P90" s="130"/>
    </row>
    <row r="91" spans="2:16" ht="17.25" customHeight="1" x14ac:dyDescent="0.25">
      <c r="B91" s="129"/>
      <c r="C91" s="178" t="s">
        <v>177</v>
      </c>
      <c r="D91" s="178" t="s">
        <v>173</v>
      </c>
      <c r="E91" s="178" t="b">
        <v>0</v>
      </c>
      <c r="F91" s="178" t="s">
        <v>171</v>
      </c>
      <c r="G91" s="178" t="s">
        <v>169</v>
      </c>
      <c r="H91" s="30" t="str">
        <f t="shared" si="2"/>
        <v>General|FALSE|700to900|DrainedAr</v>
      </c>
      <c r="I91" s="125">
        <v>0.80482594757923742</v>
      </c>
      <c r="J91" s="44">
        <v>30.428342910912445</v>
      </c>
      <c r="K91" s="27"/>
      <c r="L91" s="28"/>
      <c r="M91" s="28"/>
      <c r="N91" s="28"/>
      <c r="O91" s="28"/>
      <c r="P91" s="130"/>
    </row>
    <row r="92" spans="2:16" ht="17.25" customHeight="1" x14ac:dyDescent="0.25">
      <c r="B92" s="129"/>
      <c r="C92" s="178" t="s">
        <v>177</v>
      </c>
      <c r="D92" s="178" t="s">
        <v>173</v>
      </c>
      <c r="E92" s="178" t="b">
        <v>1</v>
      </c>
      <c r="F92" s="178" t="s">
        <v>171</v>
      </c>
      <c r="G92" s="178" t="s">
        <v>169</v>
      </c>
      <c r="H92" s="30" t="str">
        <f t="shared" si="2"/>
        <v>General|TRUE|700to900|DrainedAr</v>
      </c>
      <c r="I92" s="125">
        <v>0.80482594757923742</v>
      </c>
      <c r="J92" s="44">
        <v>30.351917329818114</v>
      </c>
      <c r="K92" s="27"/>
      <c r="L92" s="28"/>
      <c r="M92" s="28"/>
      <c r="N92" s="28"/>
      <c r="O92" s="28"/>
      <c r="P92" s="130"/>
    </row>
    <row r="93" spans="2:16" ht="17.25" customHeight="1" x14ac:dyDescent="0.25">
      <c r="B93" s="129"/>
      <c r="C93" s="178" t="s">
        <v>177</v>
      </c>
      <c r="D93" s="178" t="s">
        <v>173</v>
      </c>
      <c r="E93" s="178" t="b">
        <v>0</v>
      </c>
      <c r="F93" s="178" t="s">
        <v>171</v>
      </c>
      <c r="G93" s="178" t="s">
        <v>170</v>
      </c>
      <c r="H93" s="30" t="str">
        <f t="shared" si="2"/>
        <v>General|FALSE|700to900|DrainedArGr</v>
      </c>
      <c r="I93" s="125">
        <v>1.3133492800971378</v>
      </c>
      <c r="J93" s="44">
        <v>27.059185288436954</v>
      </c>
      <c r="K93" s="27"/>
      <c r="L93" s="28"/>
      <c r="M93" s="28"/>
      <c r="N93" s="28"/>
      <c r="O93" s="28"/>
      <c r="P93" s="130"/>
    </row>
    <row r="94" spans="2:16" ht="17.25" customHeight="1" x14ac:dyDescent="0.25">
      <c r="B94" s="129"/>
      <c r="C94" s="178" t="s">
        <v>177</v>
      </c>
      <c r="D94" s="178" t="s">
        <v>173</v>
      </c>
      <c r="E94" s="178" t="b">
        <v>1</v>
      </c>
      <c r="F94" s="178" t="s">
        <v>171</v>
      </c>
      <c r="G94" s="178" t="s">
        <v>170</v>
      </c>
      <c r="H94" s="30" t="str">
        <f t="shared" si="2"/>
        <v>General|TRUE|700to900|DrainedArGr</v>
      </c>
      <c r="I94" s="125">
        <v>1.3133492800971378</v>
      </c>
      <c r="J94" s="44">
        <v>26.998279671944498</v>
      </c>
      <c r="K94" s="27"/>
      <c r="L94" s="28"/>
      <c r="M94" s="28"/>
      <c r="N94" s="28"/>
      <c r="O94" s="28"/>
      <c r="P94" s="130"/>
    </row>
    <row r="95" spans="2:16" ht="17.25" customHeight="1" x14ac:dyDescent="0.25">
      <c r="B95" s="129"/>
      <c r="C95" s="178" t="s">
        <v>177</v>
      </c>
      <c r="D95" s="178" t="s">
        <v>173</v>
      </c>
      <c r="E95" s="178" t="b">
        <v>1</v>
      </c>
      <c r="F95" s="178" t="s">
        <v>172</v>
      </c>
      <c r="G95" s="178" t="s">
        <v>168</v>
      </c>
      <c r="H95" s="30" t="str">
        <f t="shared" si="2"/>
        <v>General|TRUE|Over1500|FreeDrain</v>
      </c>
      <c r="I95" s="125">
        <v>1.086772118221349</v>
      </c>
      <c r="J95" s="44">
        <v>45.237507965140068</v>
      </c>
      <c r="K95" s="27"/>
      <c r="L95" s="28"/>
      <c r="M95" s="28"/>
      <c r="N95" s="28"/>
      <c r="O95" s="28"/>
      <c r="P95" s="130"/>
    </row>
    <row r="96" spans="2:16" ht="17.25" customHeight="1" x14ac:dyDescent="0.25">
      <c r="B96" s="129"/>
      <c r="C96" s="178" t="s">
        <v>177</v>
      </c>
      <c r="D96" s="178" t="s">
        <v>179</v>
      </c>
      <c r="E96" s="178" t="b">
        <v>0</v>
      </c>
      <c r="F96" s="178" t="s">
        <v>167</v>
      </c>
      <c r="G96" s="178" t="s">
        <v>168</v>
      </c>
      <c r="H96" s="30" t="str">
        <f t="shared" si="2"/>
        <v>Horticulture|FALSE|600to700|FreeDrain</v>
      </c>
      <c r="I96" s="125">
        <v>4.6821970535117011E-2</v>
      </c>
      <c r="J96" s="44">
        <v>19.823256759905192</v>
      </c>
      <c r="K96" s="27"/>
      <c r="L96" s="28"/>
      <c r="M96" s="28"/>
      <c r="N96" s="28"/>
      <c r="O96" s="28"/>
      <c r="P96" s="130"/>
    </row>
    <row r="97" spans="2:16" ht="17.25" customHeight="1" x14ac:dyDescent="0.25">
      <c r="B97" s="129"/>
      <c r="C97" s="178" t="s">
        <v>177</v>
      </c>
      <c r="D97" s="178" t="s">
        <v>179</v>
      </c>
      <c r="E97" s="178" t="b">
        <v>0</v>
      </c>
      <c r="F97" s="178" t="s">
        <v>167</v>
      </c>
      <c r="G97" s="178" t="s">
        <v>170</v>
      </c>
      <c r="H97" s="30" t="str">
        <f t="shared" si="2"/>
        <v>Horticulture|FALSE|600to700|DrainedArGr</v>
      </c>
      <c r="I97" s="125">
        <v>0.44064129352931958</v>
      </c>
      <c r="J97" s="44">
        <v>13.887099768368607</v>
      </c>
      <c r="K97" s="27"/>
      <c r="L97" s="28"/>
      <c r="M97" s="28"/>
      <c r="N97" s="28"/>
      <c r="O97" s="28"/>
      <c r="P97" s="130"/>
    </row>
    <row r="98" spans="2:16" ht="17.25" customHeight="1" x14ac:dyDescent="0.25">
      <c r="B98" s="129"/>
      <c r="C98" s="178" t="s">
        <v>177</v>
      </c>
      <c r="D98" s="178" t="s">
        <v>179</v>
      </c>
      <c r="E98" s="178" t="b">
        <v>1</v>
      </c>
      <c r="F98" s="178" t="s">
        <v>167</v>
      </c>
      <c r="G98" s="178" t="s">
        <v>170</v>
      </c>
      <c r="H98" s="30" t="str">
        <f t="shared" si="2"/>
        <v>Horticulture|TRUE|600to700|DrainedArGr</v>
      </c>
      <c r="I98" s="125">
        <v>0.44064129352931958</v>
      </c>
      <c r="J98" s="44">
        <v>13.850204143974461</v>
      </c>
      <c r="K98" s="27"/>
      <c r="L98" s="28"/>
      <c r="M98" s="28"/>
      <c r="N98" s="28"/>
      <c r="O98" s="28"/>
      <c r="P98" s="130"/>
    </row>
    <row r="99" spans="2:16" ht="17.25" customHeight="1" x14ac:dyDescent="0.25">
      <c r="B99" s="129"/>
      <c r="C99" s="178" t="s">
        <v>177</v>
      </c>
      <c r="D99" s="178" t="s">
        <v>179</v>
      </c>
      <c r="E99" s="178" t="b">
        <v>0</v>
      </c>
      <c r="F99" s="178" t="s">
        <v>171</v>
      </c>
      <c r="G99" s="178" t="s">
        <v>170</v>
      </c>
      <c r="H99" s="30" t="str">
        <f t="shared" si="2"/>
        <v>Horticulture|FALSE|700to900|DrainedArGr</v>
      </c>
      <c r="I99" s="125">
        <v>0.77568222158448585</v>
      </c>
      <c r="J99" s="44">
        <v>14.964596100223284</v>
      </c>
      <c r="K99" s="27"/>
      <c r="L99" s="28"/>
      <c r="M99" s="28"/>
      <c r="N99" s="28"/>
      <c r="O99" s="28"/>
      <c r="P99" s="130"/>
    </row>
    <row r="100" spans="2:16" ht="17.25" customHeight="1" x14ac:dyDescent="0.25">
      <c r="B100" s="129"/>
      <c r="C100" s="178" t="s">
        <v>177</v>
      </c>
      <c r="D100" s="178" t="s">
        <v>180</v>
      </c>
      <c r="E100" s="178" t="b">
        <v>0</v>
      </c>
      <c r="F100" s="178" t="s">
        <v>167</v>
      </c>
      <c r="G100" s="178" t="s">
        <v>170</v>
      </c>
      <c r="H100" s="30" t="str">
        <f t="shared" si="2"/>
        <v>Pig|FALSE|600to700|DrainedArGr</v>
      </c>
      <c r="I100" s="125">
        <v>0.53297030437786719</v>
      </c>
      <c r="J100" s="44">
        <v>31.688604047397543</v>
      </c>
      <c r="K100" s="27"/>
      <c r="L100" s="28"/>
      <c r="M100" s="28"/>
      <c r="N100" s="28"/>
      <c r="O100" s="28"/>
      <c r="P100" s="130"/>
    </row>
    <row r="101" spans="2:16" ht="17.25" customHeight="1" x14ac:dyDescent="0.25">
      <c r="B101" s="129"/>
      <c r="C101" s="178" t="s">
        <v>177</v>
      </c>
      <c r="D101" s="178" t="s">
        <v>180</v>
      </c>
      <c r="E101" s="178" t="b">
        <v>0</v>
      </c>
      <c r="F101" s="178" t="s">
        <v>171</v>
      </c>
      <c r="G101" s="178" t="s">
        <v>168</v>
      </c>
      <c r="H101" s="30" t="str">
        <f t="shared" si="2"/>
        <v>Pig|FALSE|700to900|FreeDrain</v>
      </c>
      <c r="I101" s="125">
        <v>0.15617433934503619</v>
      </c>
      <c r="J101" s="44">
        <v>58.672970613697871</v>
      </c>
      <c r="K101" s="27"/>
      <c r="L101" s="28"/>
      <c r="M101" s="28"/>
      <c r="N101" s="28"/>
      <c r="O101" s="28"/>
      <c r="P101" s="130"/>
    </row>
    <row r="102" spans="2:16" ht="17.25" customHeight="1" x14ac:dyDescent="0.25">
      <c r="B102" s="129"/>
      <c r="C102" s="178" t="s">
        <v>177</v>
      </c>
      <c r="D102" s="178" t="s">
        <v>180</v>
      </c>
      <c r="E102" s="178" t="b">
        <v>0</v>
      </c>
      <c r="F102" s="178" t="s">
        <v>171</v>
      </c>
      <c r="G102" s="178" t="s">
        <v>170</v>
      </c>
      <c r="H102" s="30" t="str">
        <f t="shared" si="2"/>
        <v>Pig|FALSE|700to900|DrainedArGr</v>
      </c>
      <c r="I102" s="125">
        <v>0.89572088502806257</v>
      </c>
      <c r="J102" s="44">
        <v>34.827480924011866</v>
      </c>
      <c r="K102" s="27"/>
      <c r="L102" s="28"/>
      <c r="M102" s="28"/>
      <c r="N102" s="28"/>
      <c r="O102" s="28"/>
      <c r="P102" s="130"/>
    </row>
    <row r="103" spans="2:16" ht="17.25" customHeight="1" x14ac:dyDescent="0.25">
      <c r="B103" s="129"/>
      <c r="C103" s="178" t="s">
        <v>177</v>
      </c>
      <c r="D103" s="178" t="s">
        <v>181</v>
      </c>
      <c r="E103" s="178" t="b">
        <v>1</v>
      </c>
      <c r="F103" s="178" t="s">
        <v>167</v>
      </c>
      <c r="G103" s="178" t="s">
        <v>169</v>
      </c>
      <c r="H103" s="30" t="str">
        <f t="shared" si="2"/>
        <v>Poultry|TRUE|600to700|DrainedAr</v>
      </c>
      <c r="I103" s="125">
        <v>0.13928032110008881</v>
      </c>
      <c r="J103" s="44">
        <v>21.591030391000945</v>
      </c>
      <c r="K103" s="27"/>
      <c r="L103" s="28"/>
      <c r="M103" s="28"/>
      <c r="N103" s="28"/>
      <c r="O103" s="28"/>
      <c r="P103" s="130"/>
    </row>
    <row r="104" spans="2:16" ht="17.25" customHeight="1" x14ac:dyDescent="0.25">
      <c r="B104" s="129"/>
      <c r="C104" s="178" t="s">
        <v>177</v>
      </c>
      <c r="D104" s="178" t="s">
        <v>181</v>
      </c>
      <c r="E104" s="178" t="b">
        <v>0</v>
      </c>
      <c r="F104" s="178" t="s">
        <v>167</v>
      </c>
      <c r="G104" s="178" t="s">
        <v>170</v>
      </c>
      <c r="H104" s="30" t="str">
        <f t="shared" si="2"/>
        <v>Poultry|FALSE|600to700|DrainedArGr</v>
      </c>
      <c r="I104" s="125">
        <v>0.30145398449973343</v>
      </c>
      <c r="J104" s="44">
        <v>20.976711945622704</v>
      </c>
      <c r="K104" s="27"/>
      <c r="L104" s="28"/>
      <c r="M104" s="28"/>
      <c r="N104" s="28"/>
      <c r="O104" s="28"/>
      <c r="P104" s="130"/>
    </row>
    <row r="105" spans="2:16" ht="17.25" customHeight="1" x14ac:dyDescent="0.25">
      <c r="B105" s="129"/>
      <c r="C105" s="178" t="s">
        <v>177</v>
      </c>
      <c r="D105" s="178" t="s">
        <v>181</v>
      </c>
      <c r="E105" s="178" t="b">
        <v>0</v>
      </c>
      <c r="F105" s="178" t="s">
        <v>171</v>
      </c>
      <c r="G105" s="178" t="s">
        <v>168</v>
      </c>
      <c r="H105" s="30" t="str">
        <f t="shared" si="2"/>
        <v>Poultry|FALSE|700to900|FreeDrain</v>
      </c>
      <c r="I105" s="125">
        <v>0.10696788788081549</v>
      </c>
      <c r="J105" s="44">
        <v>40.058902477353712</v>
      </c>
      <c r="K105" s="27"/>
      <c r="L105" s="28"/>
      <c r="M105" s="28"/>
      <c r="N105" s="28"/>
      <c r="O105" s="28"/>
      <c r="P105" s="130"/>
    </row>
    <row r="106" spans="2:16" ht="17.25" customHeight="1" x14ac:dyDescent="0.25">
      <c r="B106" s="129"/>
      <c r="C106" s="178" t="s">
        <v>177</v>
      </c>
      <c r="D106" s="178" t="s">
        <v>181</v>
      </c>
      <c r="E106" s="178" t="b">
        <v>0</v>
      </c>
      <c r="F106" s="178" t="s">
        <v>171</v>
      </c>
      <c r="G106" s="178" t="s">
        <v>170</v>
      </c>
      <c r="H106" s="30" t="str">
        <f t="shared" si="2"/>
        <v>Poultry|FALSE|700to900|DrainedArGr</v>
      </c>
      <c r="I106" s="125">
        <v>0.52199141358939183</v>
      </c>
      <c r="J106" s="44">
        <v>23.009474943533451</v>
      </c>
      <c r="K106" s="27"/>
      <c r="L106" s="28"/>
      <c r="M106" s="28"/>
      <c r="N106" s="28"/>
      <c r="O106" s="28"/>
      <c r="P106" s="130"/>
    </row>
    <row r="107" spans="2:16" ht="17.25" customHeight="1" x14ac:dyDescent="0.25">
      <c r="B107" s="129"/>
      <c r="C107" s="178" t="s">
        <v>177</v>
      </c>
      <c r="D107" s="178" t="s">
        <v>182</v>
      </c>
      <c r="E107" s="178" t="b">
        <v>0</v>
      </c>
      <c r="F107" s="178" t="s">
        <v>167</v>
      </c>
      <c r="G107" s="178" t="s">
        <v>170</v>
      </c>
      <c r="H107" s="30" t="str">
        <f t="shared" si="2"/>
        <v>Dairy|FALSE|600to700|DrainedArGr</v>
      </c>
      <c r="I107" s="125">
        <v>2.0937654233112668</v>
      </c>
      <c r="J107" s="44">
        <v>40.087546784175558</v>
      </c>
      <c r="K107" s="27"/>
      <c r="L107" s="28"/>
      <c r="M107" s="28"/>
      <c r="N107" s="28"/>
      <c r="O107" s="28"/>
      <c r="P107" s="130"/>
    </row>
    <row r="108" spans="2:16" ht="17.25" customHeight="1" x14ac:dyDescent="0.25">
      <c r="B108" s="129"/>
      <c r="C108" s="178" t="s">
        <v>177</v>
      </c>
      <c r="D108" s="178" t="s">
        <v>182</v>
      </c>
      <c r="E108" s="178" t="b">
        <v>0</v>
      </c>
      <c r="F108" s="178" t="s">
        <v>171</v>
      </c>
      <c r="G108" s="178" t="s">
        <v>170</v>
      </c>
      <c r="H108" s="30" t="str">
        <f t="shared" si="2"/>
        <v>Dairy|FALSE|700to900|DrainedArGr</v>
      </c>
      <c r="I108" s="125">
        <v>3.2895063566753024</v>
      </c>
      <c r="J108" s="44">
        <v>50.087595442617932</v>
      </c>
      <c r="K108" s="27"/>
      <c r="L108" s="28"/>
      <c r="M108" s="28"/>
      <c r="N108" s="28"/>
      <c r="O108" s="28"/>
      <c r="P108" s="130"/>
    </row>
    <row r="109" spans="2:16" ht="17.25" customHeight="1" x14ac:dyDescent="0.25">
      <c r="B109" s="129"/>
      <c r="C109" s="178" t="s">
        <v>177</v>
      </c>
      <c r="D109" s="178" t="s">
        <v>174</v>
      </c>
      <c r="E109" s="178" t="b">
        <v>0</v>
      </c>
      <c r="F109" s="178" t="s">
        <v>167</v>
      </c>
      <c r="G109" s="178" t="s">
        <v>168</v>
      </c>
      <c r="H109" s="30" t="str">
        <f t="shared" si="2"/>
        <v>LFA|FALSE|600to700|FreeDrain</v>
      </c>
      <c r="I109" s="125">
        <v>0.20685656489617746</v>
      </c>
      <c r="J109" s="44">
        <v>32.304597698232563</v>
      </c>
      <c r="K109" s="27"/>
      <c r="L109" s="28"/>
      <c r="M109" s="28"/>
      <c r="N109" s="28"/>
      <c r="O109" s="28"/>
      <c r="P109" s="130"/>
    </row>
    <row r="110" spans="2:16" ht="17.25" customHeight="1" x14ac:dyDescent="0.25">
      <c r="B110" s="129"/>
      <c r="C110" s="178" t="s">
        <v>177</v>
      </c>
      <c r="D110" s="178" t="s">
        <v>174</v>
      </c>
      <c r="E110" s="178" t="b">
        <v>0</v>
      </c>
      <c r="F110" s="178" t="s">
        <v>167</v>
      </c>
      <c r="G110" s="178" t="s">
        <v>170</v>
      </c>
      <c r="H110" s="30" t="str">
        <f t="shared" si="2"/>
        <v>LFA|FALSE|600to700|DrainedArGr</v>
      </c>
      <c r="I110" s="125">
        <v>1.1670669223942518</v>
      </c>
      <c r="J110" s="44">
        <v>23.9674640963764</v>
      </c>
      <c r="K110" s="27"/>
      <c r="L110" s="28"/>
      <c r="M110" s="28"/>
      <c r="N110" s="28"/>
      <c r="O110" s="28"/>
      <c r="P110" s="130"/>
    </row>
    <row r="111" spans="2:16" ht="17.25" customHeight="1" x14ac:dyDescent="0.25">
      <c r="B111" s="129"/>
      <c r="C111" s="178" t="s">
        <v>177</v>
      </c>
      <c r="D111" s="178" t="s">
        <v>174</v>
      </c>
      <c r="E111" s="178" t="b">
        <v>1</v>
      </c>
      <c r="F111" s="178" t="s">
        <v>167</v>
      </c>
      <c r="G111" s="178" t="s">
        <v>170</v>
      </c>
      <c r="H111" s="30" t="str">
        <f t="shared" si="2"/>
        <v>LFA|TRUE|600to700|DrainedArGr</v>
      </c>
      <c r="I111" s="125">
        <v>1.1670093309925076</v>
      </c>
      <c r="J111" s="44">
        <v>23.939427061519094</v>
      </c>
      <c r="K111" s="27"/>
      <c r="L111" s="28"/>
      <c r="M111" s="28"/>
      <c r="N111" s="28"/>
      <c r="O111" s="28"/>
      <c r="P111" s="130"/>
    </row>
    <row r="112" spans="2:16" ht="17.25" customHeight="1" x14ac:dyDescent="0.25">
      <c r="B112" s="129"/>
      <c r="C112" s="178" t="s">
        <v>177</v>
      </c>
      <c r="D112" s="178" t="s">
        <v>174</v>
      </c>
      <c r="E112" s="178" t="b">
        <v>0</v>
      </c>
      <c r="F112" s="178" t="s">
        <v>171</v>
      </c>
      <c r="G112" s="178" t="s">
        <v>168</v>
      </c>
      <c r="H112" s="30" t="str">
        <f t="shared" si="2"/>
        <v>LFA|FALSE|700to900|FreeDrain</v>
      </c>
      <c r="I112" s="125">
        <v>0.37859717425518624</v>
      </c>
      <c r="J112" s="44">
        <v>45.545957918958145</v>
      </c>
      <c r="K112" s="27"/>
      <c r="L112" s="28"/>
      <c r="M112" s="28"/>
      <c r="N112" s="28"/>
      <c r="O112" s="28"/>
      <c r="P112" s="130"/>
    </row>
    <row r="113" spans="2:16" ht="17.25" customHeight="1" x14ac:dyDescent="0.25">
      <c r="B113" s="129"/>
      <c r="C113" s="178" t="s">
        <v>177</v>
      </c>
      <c r="D113" s="178" t="s">
        <v>174</v>
      </c>
      <c r="E113" s="178" t="b">
        <v>1</v>
      </c>
      <c r="F113" s="178" t="s">
        <v>171</v>
      </c>
      <c r="G113" s="178" t="s">
        <v>168</v>
      </c>
      <c r="H113" s="30" t="str">
        <f t="shared" si="2"/>
        <v>LFA|TRUE|700to900|FreeDrain</v>
      </c>
      <c r="I113" s="125">
        <v>0.37859657291029508</v>
      </c>
      <c r="J113" s="44">
        <v>45.366178810903605</v>
      </c>
      <c r="K113" s="27"/>
      <c r="L113" s="28"/>
      <c r="M113" s="28"/>
      <c r="N113" s="28"/>
      <c r="O113" s="28"/>
      <c r="P113" s="130"/>
    </row>
    <row r="114" spans="2:16" ht="17.25" customHeight="1" x14ac:dyDescent="0.25">
      <c r="B114" s="129"/>
      <c r="C114" s="178" t="s">
        <v>177</v>
      </c>
      <c r="D114" s="178" t="s">
        <v>174</v>
      </c>
      <c r="E114" s="178" t="b">
        <v>0</v>
      </c>
      <c r="F114" s="178" t="s">
        <v>171</v>
      </c>
      <c r="G114" s="178" t="s">
        <v>169</v>
      </c>
      <c r="H114" s="30" t="str">
        <f t="shared" si="2"/>
        <v>LFA|FALSE|700to900|DrainedAr</v>
      </c>
      <c r="I114" s="125">
        <v>0.394274907820929</v>
      </c>
      <c r="J114" s="44">
        <v>37.252704944651654</v>
      </c>
      <c r="K114" s="27"/>
      <c r="L114" s="28"/>
      <c r="M114" s="28"/>
      <c r="N114" s="28"/>
      <c r="O114" s="28"/>
      <c r="P114" s="130"/>
    </row>
    <row r="115" spans="2:16" ht="17.25" customHeight="1" x14ac:dyDescent="0.25">
      <c r="B115" s="129"/>
      <c r="C115" s="178" t="s">
        <v>177</v>
      </c>
      <c r="D115" s="178" t="s">
        <v>174</v>
      </c>
      <c r="E115" s="178" t="b">
        <v>1</v>
      </c>
      <c r="F115" s="178" t="s">
        <v>171</v>
      </c>
      <c r="G115" s="178" t="s">
        <v>169</v>
      </c>
      <c r="H115" s="30" t="str">
        <f t="shared" si="2"/>
        <v>LFA|TRUE|700to900|DrainedAr</v>
      </c>
      <c r="I115" s="125">
        <v>0.39427416174859714</v>
      </c>
      <c r="J115" s="44">
        <v>37.114043352209222</v>
      </c>
      <c r="K115" s="27"/>
      <c r="L115" s="28"/>
      <c r="M115" s="28"/>
      <c r="N115" s="28"/>
      <c r="O115" s="28"/>
      <c r="P115" s="130"/>
    </row>
    <row r="116" spans="2:16" ht="17.25" customHeight="1" x14ac:dyDescent="0.25">
      <c r="B116" s="129"/>
      <c r="C116" s="178" t="s">
        <v>177</v>
      </c>
      <c r="D116" s="178" t="s">
        <v>174</v>
      </c>
      <c r="E116" s="178" t="b">
        <v>0</v>
      </c>
      <c r="F116" s="178" t="s">
        <v>171</v>
      </c>
      <c r="G116" s="178" t="s">
        <v>170</v>
      </c>
      <c r="H116" s="30" t="str">
        <f t="shared" si="2"/>
        <v>LFA|FALSE|700to900|DrainedArGr</v>
      </c>
      <c r="I116" s="125">
        <v>1.8267144536100259</v>
      </c>
      <c r="J116" s="44">
        <v>30.991990444896672</v>
      </c>
      <c r="K116" s="27"/>
      <c r="L116" s="28"/>
      <c r="M116" s="28"/>
      <c r="N116" s="28"/>
      <c r="O116" s="28"/>
      <c r="P116" s="130"/>
    </row>
    <row r="117" spans="2:16" ht="17.25" customHeight="1" x14ac:dyDescent="0.25">
      <c r="B117" s="129"/>
      <c r="C117" s="178" t="s">
        <v>177</v>
      </c>
      <c r="D117" s="178" t="s">
        <v>174</v>
      </c>
      <c r="E117" s="178" t="b">
        <v>1</v>
      </c>
      <c r="F117" s="178" t="s">
        <v>171</v>
      </c>
      <c r="G117" s="178" t="s">
        <v>170</v>
      </c>
      <c r="H117" s="30" t="str">
        <f t="shared" si="2"/>
        <v>LFA|TRUE|700to900|DrainedArGr</v>
      </c>
      <c r="I117" s="125">
        <v>1.8266447267585906</v>
      </c>
      <c r="J117" s="44">
        <v>30.959734336215025</v>
      </c>
      <c r="K117" s="27"/>
      <c r="L117" s="28"/>
      <c r="M117" s="28"/>
      <c r="N117" s="28"/>
      <c r="O117" s="28"/>
      <c r="P117" s="130"/>
    </row>
    <row r="118" spans="2:16" ht="17.25" customHeight="1" x14ac:dyDescent="0.25">
      <c r="B118" s="129"/>
      <c r="C118" s="178" t="s">
        <v>177</v>
      </c>
      <c r="D118" s="178" t="s">
        <v>174</v>
      </c>
      <c r="E118" s="178" t="b">
        <v>0</v>
      </c>
      <c r="F118" s="178" t="s">
        <v>178</v>
      </c>
      <c r="G118" s="178" t="s">
        <v>168</v>
      </c>
      <c r="H118" s="30" t="str">
        <f t="shared" si="2"/>
        <v>LFA|FALSE|900to1200|FreeDrain</v>
      </c>
      <c r="I118" s="125">
        <v>0.6071620262290327</v>
      </c>
      <c r="J118" s="44">
        <v>48.703321934552513</v>
      </c>
      <c r="K118" s="27"/>
      <c r="L118" s="28"/>
      <c r="M118" s="28"/>
      <c r="N118" s="28"/>
      <c r="O118" s="28"/>
      <c r="P118" s="130"/>
    </row>
    <row r="119" spans="2:16" ht="17.25" customHeight="1" x14ac:dyDescent="0.25">
      <c r="B119" s="129"/>
      <c r="C119" s="178" t="s">
        <v>177</v>
      </c>
      <c r="D119" s="178" t="s">
        <v>174</v>
      </c>
      <c r="E119" s="178" t="b">
        <v>0</v>
      </c>
      <c r="F119" s="178" t="s">
        <v>178</v>
      </c>
      <c r="G119" s="178" t="s">
        <v>169</v>
      </c>
      <c r="H119" s="30" t="str">
        <f t="shared" si="2"/>
        <v>LFA|FALSE|900to1200|DrainedAr</v>
      </c>
      <c r="I119" s="125">
        <v>0.64426640162345938</v>
      </c>
      <c r="J119" s="44">
        <v>46.629004111413579</v>
      </c>
      <c r="K119" s="27"/>
      <c r="L119" s="28"/>
      <c r="M119" s="28"/>
      <c r="N119" s="28"/>
      <c r="O119" s="28"/>
      <c r="P119" s="130"/>
    </row>
    <row r="120" spans="2:16" ht="17.25" customHeight="1" x14ac:dyDescent="0.25">
      <c r="B120" s="129"/>
      <c r="C120" s="178" t="s">
        <v>177</v>
      </c>
      <c r="D120" s="178" t="s">
        <v>174</v>
      </c>
      <c r="E120" s="178" t="b">
        <v>0</v>
      </c>
      <c r="F120" s="178" t="s">
        <v>178</v>
      </c>
      <c r="G120" s="178" t="s">
        <v>170</v>
      </c>
      <c r="H120" s="30" t="str">
        <f t="shared" si="2"/>
        <v>LFA|FALSE|900to1200|DrainedArGr</v>
      </c>
      <c r="I120" s="125">
        <v>3.0655112808869598</v>
      </c>
      <c r="J120" s="44">
        <v>39.757265958546711</v>
      </c>
      <c r="K120" s="27"/>
      <c r="L120" s="28"/>
      <c r="M120" s="28"/>
      <c r="N120" s="28"/>
      <c r="O120" s="28"/>
      <c r="P120" s="130"/>
    </row>
    <row r="121" spans="2:16" ht="17.25" customHeight="1" x14ac:dyDescent="0.25">
      <c r="B121" s="129"/>
      <c r="C121" s="178" t="s">
        <v>177</v>
      </c>
      <c r="D121" s="178" t="s">
        <v>175</v>
      </c>
      <c r="E121" s="178" t="b">
        <v>0</v>
      </c>
      <c r="F121" s="178" t="s">
        <v>167</v>
      </c>
      <c r="G121" s="178" t="s">
        <v>168</v>
      </c>
      <c r="H121" s="30" t="str">
        <f t="shared" si="2"/>
        <v>Lowland|FALSE|600to700|FreeDrain</v>
      </c>
      <c r="I121" s="125">
        <v>9.7476765415387787E-2</v>
      </c>
      <c r="J121" s="44">
        <v>16.934072049017601</v>
      </c>
      <c r="K121" s="27"/>
      <c r="L121" s="28"/>
      <c r="M121" s="28"/>
      <c r="N121" s="28"/>
      <c r="O121" s="28"/>
      <c r="P121" s="130"/>
    </row>
    <row r="122" spans="2:16" ht="17.25" customHeight="1" x14ac:dyDescent="0.25">
      <c r="B122" s="129"/>
      <c r="C122" s="178" t="s">
        <v>177</v>
      </c>
      <c r="D122" s="178" t="s">
        <v>175</v>
      </c>
      <c r="E122" s="178" t="b">
        <v>0</v>
      </c>
      <c r="F122" s="178" t="s">
        <v>167</v>
      </c>
      <c r="G122" s="178" t="s">
        <v>169</v>
      </c>
      <c r="H122" s="30" t="str">
        <f t="shared" si="2"/>
        <v>Lowland|FALSE|600to700|DrainedAr</v>
      </c>
      <c r="I122" s="125">
        <v>0.13269747958826711</v>
      </c>
      <c r="J122" s="44">
        <v>11.563187154887061</v>
      </c>
      <c r="K122" s="27"/>
      <c r="L122" s="28"/>
      <c r="M122" s="28"/>
      <c r="N122" s="28"/>
      <c r="O122" s="28"/>
      <c r="P122" s="130"/>
    </row>
    <row r="123" spans="2:16" ht="17.25" customHeight="1" x14ac:dyDescent="0.25">
      <c r="B123" s="129"/>
      <c r="C123" s="178" t="s">
        <v>177</v>
      </c>
      <c r="D123" s="178" t="s">
        <v>175</v>
      </c>
      <c r="E123" s="178" t="b">
        <v>1</v>
      </c>
      <c r="F123" s="178" t="s">
        <v>167</v>
      </c>
      <c r="G123" s="178" t="s">
        <v>169</v>
      </c>
      <c r="H123" s="30" t="str">
        <f t="shared" si="2"/>
        <v>Lowland|TRUE|600to700|DrainedAr</v>
      </c>
      <c r="I123" s="125">
        <v>0.13269722097859749</v>
      </c>
      <c r="J123" s="44">
        <v>11.498115788700286</v>
      </c>
      <c r="K123" s="27"/>
      <c r="L123" s="28"/>
      <c r="M123" s="28"/>
      <c r="N123" s="28"/>
      <c r="O123" s="28"/>
      <c r="P123" s="130"/>
    </row>
    <row r="124" spans="2:16" ht="17.25" customHeight="1" x14ac:dyDescent="0.25">
      <c r="B124" s="129"/>
      <c r="C124" s="178" t="s">
        <v>177</v>
      </c>
      <c r="D124" s="178" t="s">
        <v>175</v>
      </c>
      <c r="E124" s="178" t="b">
        <v>0</v>
      </c>
      <c r="F124" s="178" t="s">
        <v>167</v>
      </c>
      <c r="G124" s="178" t="s">
        <v>170</v>
      </c>
      <c r="H124" s="30" t="str">
        <f t="shared" si="2"/>
        <v>Lowland|FALSE|600to700|DrainedArGr</v>
      </c>
      <c r="I124" s="125">
        <v>0.64011436772466124</v>
      </c>
      <c r="J124" s="44">
        <v>11.387997190976371</v>
      </c>
      <c r="K124" s="27"/>
      <c r="L124" s="28"/>
      <c r="M124" s="28"/>
      <c r="N124" s="28"/>
      <c r="O124" s="28"/>
      <c r="P124" s="130"/>
    </row>
    <row r="125" spans="2:16" ht="17.25" customHeight="1" x14ac:dyDescent="0.25">
      <c r="B125" s="129"/>
      <c r="C125" s="178" t="s">
        <v>177</v>
      </c>
      <c r="D125" s="178" t="s">
        <v>175</v>
      </c>
      <c r="E125" s="178" t="b">
        <v>1</v>
      </c>
      <c r="F125" s="178" t="s">
        <v>167</v>
      </c>
      <c r="G125" s="178" t="s">
        <v>170</v>
      </c>
      <c r="H125" s="30" t="str">
        <f t="shared" si="2"/>
        <v>Lowland|TRUE|600to700|DrainedArGr</v>
      </c>
      <c r="I125" s="125">
        <v>0.64008822079949157</v>
      </c>
      <c r="J125" s="44">
        <v>11.365517824067982</v>
      </c>
      <c r="K125" s="27"/>
      <c r="L125" s="28"/>
      <c r="M125" s="28"/>
      <c r="N125" s="28"/>
      <c r="O125" s="28"/>
      <c r="P125" s="130"/>
    </row>
    <row r="126" spans="2:16" ht="17.25" customHeight="1" x14ac:dyDescent="0.25">
      <c r="B126" s="129"/>
      <c r="C126" s="178" t="s">
        <v>177</v>
      </c>
      <c r="D126" s="178" t="s">
        <v>175</v>
      </c>
      <c r="E126" s="178" t="b">
        <v>0</v>
      </c>
      <c r="F126" s="178" t="s">
        <v>171</v>
      </c>
      <c r="G126" s="178" t="s">
        <v>168</v>
      </c>
      <c r="H126" s="30" t="str">
        <f t="shared" si="2"/>
        <v>Lowland|FALSE|700to900|FreeDrain</v>
      </c>
      <c r="I126" s="125">
        <v>0.16789357737027599</v>
      </c>
      <c r="J126" s="44">
        <v>24.05474179495496</v>
      </c>
      <c r="K126" s="27"/>
      <c r="L126" s="28"/>
      <c r="M126" s="28"/>
      <c r="N126" s="28"/>
      <c r="O126" s="28"/>
      <c r="P126" s="130"/>
    </row>
    <row r="127" spans="2:16" ht="17.25" customHeight="1" x14ac:dyDescent="0.25">
      <c r="B127" s="129"/>
      <c r="C127" s="178" t="s">
        <v>177</v>
      </c>
      <c r="D127" s="178" t="s">
        <v>175</v>
      </c>
      <c r="E127" s="178" t="b">
        <v>0</v>
      </c>
      <c r="F127" s="178" t="s">
        <v>171</v>
      </c>
      <c r="G127" s="178" t="s">
        <v>169</v>
      </c>
      <c r="H127" s="30" t="str">
        <f t="shared" si="2"/>
        <v>Lowland|FALSE|700to900|DrainedAr</v>
      </c>
      <c r="I127" s="125">
        <v>0.22624057469428499</v>
      </c>
      <c r="J127" s="44">
        <v>18.876451471818612</v>
      </c>
      <c r="K127" s="27"/>
      <c r="L127" s="28"/>
      <c r="M127" s="28"/>
      <c r="N127" s="28"/>
      <c r="O127" s="28"/>
      <c r="P127" s="130"/>
    </row>
    <row r="128" spans="2:16" ht="17.25" customHeight="1" x14ac:dyDescent="0.25">
      <c r="B128" s="129"/>
      <c r="C128" s="178" t="s">
        <v>177</v>
      </c>
      <c r="D128" s="178" t="s">
        <v>175</v>
      </c>
      <c r="E128" s="178" t="b">
        <v>1</v>
      </c>
      <c r="F128" s="178" t="s">
        <v>171</v>
      </c>
      <c r="G128" s="178" t="s">
        <v>169</v>
      </c>
      <c r="H128" s="30" t="str">
        <f t="shared" si="2"/>
        <v>Lowland|TRUE|700to900|DrainedAr</v>
      </c>
      <c r="I128" s="125">
        <v>0.22624023597189166</v>
      </c>
      <c r="J128" s="44">
        <v>18.774435234357863</v>
      </c>
      <c r="K128" s="27"/>
      <c r="L128" s="28"/>
      <c r="M128" s="28"/>
      <c r="N128" s="28"/>
      <c r="O128" s="28"/>
      <c r="P128" s="130"/>
    </row>
    <row r="129" spans="2:16" ht="17.25" customHeight="1" x14ac:dyDescent="0.25">
      <c r="B129" s="129"/>
      <c r="C129" s="178" t="s">
        <v>177</v>
      </c>
      <c r="D129" s="178" t="s">
        <v>175</v>
      </c>
      <c r="E129" s="178" t="b">
        <v>0</v>
      </c>
      <c r="F129" s="178" t="s">
        <v>171</v>
      </c>
      <c r="G129" s="178" t="s">
        <v>170</v>
      </c>
      <c r="H129" s="30" t="str">
        <f t="shared" si="2"/>
        <v>Lowland|FALSE|700to900|DrainedArGr</v>
      </c>
      <c r="I129" s="125">
        <v>0.99411921570941086</v>
      </c>
      <c r="J129" s="44">
        <v>14.233955443041463</v>
      </c>
      <c r="K129" s="27"/>
      <c r="L129" s="28"/>
      <c r="M129" s="28"/>
      <c r="N129" s="28"/>
      <c r="O129" s="28"/>
      <c r="P129" s="130"/>
    </row>
    <row r="130" spans="2:16" ht="17.25" customHeight="1" x14ac:dyDescent="0.25">
      <c r="B130" s="129"/>
      <c r="C130" s="178" t="s">
        <v>177</v>
      </c>
      <c r="D130" s="178" t="s">
        <v>175</v>
      </c>
      <c r="E130" s="178" t="b">
        <v>1</v>
      </c>
      <c r="F130" s="178" t="s">
        <v>171</v>
      </c>
      <c r="G130" s="178" t="s">
        <v>170</v>
      </c>
      <c r="H130" s="30" t="str">
        <f t="shared" si="2"/>
        <v>Lowland|TRUE|700to900|DrainedArGr</v>
      </c>
      <c r="I130" s="125">
        <v>0.99408755919973102</v>
      </c>
      <c r="J130" s="44">
        <v>14.208512690526806</v>
      </c>
      <c r="K130" s="27"/>
      <c r="L130" s="28"/>
      <c r="M130" s="28"/>
      <c r="N130" s="28"/>
      <c r="O130" s="28"/>
      <c r="P130" s="130"/>
    </row>
    <row r="131" spans="2:16" ht="17.25" customHeight="1" x14ac:dyDescent="0.25">
      <c r="B131" s="129"/>
      <c r="C131" s="178" t="s">
        <v>177</v>
      </c>
      <c r="D131" s="178" t="s">
        <v>175</v>
      </c>
      <c r="E131" s="178" t="b">
        <v>0</v>
      </c>
      <c r="F131" s="178" t="s">
        <v>178</v>
      </c>
      <c r="G131" s="178" t="s">
        <v>168</v>
      </c>
      <c r="H131" s="30" t="str">
        <f t="shared" si="2"/>
        <v>Lowland|FALSE|900to1200|FreeDrain</v>
      </c>
      <c r="I131" s="125">
        <v>0.25816068313890039</v>
      </c>
      <c r="J131" s="44">
        <v>25.73402586960405</v>
      </c>
      <c r="K131" s="27"/>
      <c r="L131" s="28"/>
      <c r="M131" s="28"/>
      <c r="N131" s="28"/>
      <c r="O131" s="28"/>
      <c r="P131" s="130"/>
    </row>
    <row r="132" spans="2:16" ht="17.25" customHeight="1" x14ac:dyDescent="0.25">
      <c r="B132" s="129"/>
      <c r="C132" s="178" t="s">
        <v>177</v>
      </c>
      <c r="D132" s="178" t="s">
        <v>175</v>
      </c>
      <c r="E132" s="178" t="b">
        <v>0</v>
      </c>
      <c r="F132" s="178" t="s">
        <v>178</v>
      </c>
      <c r="G132" s="178" t="s">
        <v>169</v>
      </c>
      <c r="H132" s="30" t="str">
        <f t="shared" si="2"/>
        <v>Lowland|FALSE|900to1200|DrainedAr</v>
      </c>
      <c r="I132" s="125">
        <v>0.3756084464574056</v>
      </c>
      <c r="J132" s="44">
        <v>24.200106182135727</v>
      </c>
      <c r="K132" s="27"/>
      <c r="L132" s="28"/>
      <c r="M132" s="28"/>
      <c r="N132" s="28"/>
      <c r="O132" s="28"/>
      <c r="P132" s="130"/>
    </row>
    <row r="133" spans="2:16" ht="17.25" customHeight="1" x14ac:dyDescent="0.25">
      <c r="B133" s="129"/>
      <c r="C133" s="178" t="s">
        <v>177</v>
      </c>
      <c r="D133" s="178" t="s">
        <v>175</v>
      </c>
      <c r="E133" s="178" t="b">
        <v>0</v>
      </c>
      <c r="F133" s="178" t="s">
        <v>172</v>
      </c>
      <c r="G133" s="178" t="s">
        <v>169</v>
      </c>
      <c r="H133" s="30" t="str">
        <f t="shared" ref="H133:H148" si="3">D133&amp;"|"&amp;E133&amp;"|"&amp;F133&amp;"|"&amp;G133</f>
        <v>Lowland|FALSE|Over1500|DrainedAr</v>
      </c>
      <c r="I133" s="125">
        <v>0.77062998069915234</v>
      </c>
      <c r="J133" s="44">
        <v>30.148299124799923</v>
      </c>
      <c r="K133" s="27"/>
      <c r="L133" s="28"/>
      <c r="M133" s="28"/>
      <c r="N133" s="28"/>
      <c r="O133" s="28"/>
      <c r="P133" s="130"/>
    </row>
    <row r="134" spans="2:16" ht="17.25" customHeight="1" x14ac:dyDescent="0.25">
      <c r="B134" s="129"/>
      <c r="C134" s="178" t="s">
        <v>177</v>
      </c>
      <c r="D134" s="178" t="s">
        <v>175</v>
      </c>
      <c r="E134" s="178" t="b">
        <v>1</v>
      </c>
      <c r="F134" s="178" t="s">
        <v>172</v>
      </c>
      <c r="G134" s="178" t="s">
        <v>169</v>
      </c>
      <c r="H134" s="30" t="str">
        <f t="shared" si="3"/>
        <v>Lowland|TRUE|Over1500|DrainedAr</v>
      </c>
      <c r="I134" s="125">
        <v>0.77062933257678845</v>
      </c>
      <c r="J134" s="44">
        <v>29.999646129320105</v>
      </c>
      <c r="K134" s="27"/>
      <c r="L134" s="28"/>
      <c r="M134" s="28"/>
      <c r="N134" s="28"/>
      <c r="O134" s="28"/>
      <c r="P134" s="130"/>
    </row>
    <row r="135" spans="2:16" ht="17.25" customHeight="1" x14ac:dyDescent="0.25">
      <c r="B135" s="129"/>
      <c r="C135" s="178" t="s">
        <v>177</v>
      </c>
      <c r="D135" s="178" t="s">
        <v>175</v>
      </c>
      <c r="E135" s="178" t="b">
        <v>0</v>
      </c>
      <c r="F135" s="178" t="s">
        <v>172</v>
      </c>
      <c r="G135" s="178" t="s">
        <v>170</v>
      </c>
      <c r="H135" s="30" t="str">
        <f t="shared" si="3"/>
        <v>Lowland|FALSE|Over1500|DrainedArGr</v>
      </c>
      <c r="I135" s="125">
        <v>3.5912902821891906</v>
      </c>
      <c r="J135" s="44">
        <v>29.741524969389289</v>
      </c>
      <c r="K135" s="27"/>
      <c r="L135" s="28"/>
      <c r="M135" s="28"/>
      <c r="N135" s="28"/>
      <c r="O135" s="28"/>
      <c r="P135" s="130"/>
    </row>
    <row r="136" spans="2:16" ht="17.25" customHeight="1" x14ac:dyDescent="0.25">
      <c r="B136" s="129"/>
      <c r="C136" s="178" t="s">
        <v>177</v>
      </c>
      <c r="D136" s="178" t="s">
        <v>175</v>
      </c>
      <c r="E136" s="178" t="b">
        <v>1</v>
      </c>
      <c r="F136" s="178" t="s">
        <v>172</v>
      </c>
      <c r="G136" s="178" t="s">
        <v>170</v>
      </c>
      <c r="H136" s="30" t="str">
        <f t="shared" si="3"/>
        <v>Lowland|TRUE|Over1500|DrainedArGr</v>
      </c>
      <c r="I136" s="125">
        <v>3.5912317808111238</v>
      </c>
      <c r="J136" s="44">
        <v>29.710985292951207</v>
      </c>
      <c r="K136" s="27"/>
      <c r="L136" s="28"/>
      <c r="M136" s="28"/>
      <c r="N136" s="28"/>
      <c r="O136" s="28"/>
      <c r="P136" s="130"/>
    </row>
    <row r="137" spans="2:16" ht="17.25" customHeight="1" x14ac:dyDescent="0.25">
      <c r="B137" s="129"/>
      <c r="C137" s="178" t="s">
        <v>177</v>
      </c>
      <c r="D137" s="178" t="s">
        <v>176</v>
      </c>
      <c r="E137" s="178" t="b">
        <v>0</v>
      </c>
      <c r="F137" s="178" t="s">
        <v>167</v>
      </c>
      <c r="G137" s="178" t="s">
        <v>168</v>
      </c>
      <c r="H137" s="30" t="str">
        <f t="shared" si="3"/>
        <v>Mixed|FALSE|600to700|FreeDrain</v>
      </c>
      <c r="I137" s="125">
        <v>0.20052941807311603</v>
      </c>
      <c r="J137" s="44">
        <v>56.510442615538899</v>
      </c>
      <c r="K137" s="27"/>
      <c r="L137" s="28"/>
      <c r="M137" s="28"/>
      <c r="N137" s="28"/>
      <c r="O137" s="28"/>
      <c r="P137" s="130"/>
    </row>
    <row r="138" spans="2:16" ht="17.25" customHeight="1" x14ac:dyDescent="0.25">
      <c r="B138" s="129"/>
      <c r="C138" s="178" t="s">
        <v>177</v>
      </c>
      <c r="D138" s="178" t="s">
        <v>176</v>
      </c>
      <c r="E138" s="178" t="b">
        <v>1</v>
      </c>
      <c r="F138" s="178" t="s">
        <v>167</v>
      </c>
      <c r="G138" s="178" t="s">
        <v>168</v>
      </c>
      <c r="H138" s="30" t="str">
        <f t="shared" si="3"/>
        <v>Mixed|TRUE|600to700|FreeDrain</v>
      </c>
      <c r="I138" s="125">
        <v>0.20022463880430907</v>
      </c>
      <c r="J138" s="44">
        <v>56.191457811188521</v>
      </c>
      <c r="K138" s="27"/>
      <c r="L138" s="28"/>
      <c r="M138" s="28"/>
      <c r="N138" s="28"/>
      <c r="O138" s="28"/>
      <c r="P138" s="130"/>
    </row>
    <row r="139" spans="2:16" ht="17.25" customHeight="1" x14ac:dyDescent="0.25">
      <c r="B139" s="129"/>
      <c r="C139" s="178" t="s">
        <v>177</v>
      </c>
      <c r="D139" s="178" t="s">
        <v>176</v>
      </c>
      <c r="E139" s="178" t="b">
        <v>0</v>
      </c>
      <c r="F139" s="178" t="s">
        <v>167</v>
      </c>
      <c r="G139" s="178" t="s">
        <v>169</v>
      </c>
      <c r="H139" s="30" t="str">
        <f t="shared" si="3"/>
        <v>Mixed|FALSE|600to700|DrainedAr</v>
      </c>
      <c r="I139" s="125">
        <v>0.61335011815163187</v>
      </c>
      <c r="J139" s="44">
        <v>40.595837565149324</v>
      </c>
      <c r="K139" s="27"/>
      <c r="L139" s="28"/>
      <c r="M139" s="28"/>
      <c r="N139" s="28"/>
      <c r="O139" s="28"/>
      <c r="P139" s="130"/>
    </row>
    <row r="140" spans="2:16" ht="17.25" customHeight="1" x14ac:dyDescent="0.25">
      <c r="B140" s="129"/>
      <c r="C140" s="178" t="s">
        <v>177</v>
      </c>
      <c r="D140" s="178" t="s">
        <v>176</v>
      </c>
      <c r="E140" s="178" t="b">
        <v>1</v>
      </c>
      <c r="F140" s="178" t="s">
        <v>167</v>
      </c>
      <c r="G140" s="178" t="s">
        <v>169</v>
      </c>
      <c r="H140" s="30" t="str">
        <f t="shared" si="3"/>
        <v>Mixed|TRUE|600to700|DrainedAr</v>
      </c>
      <c r="I140" s="125">
        <v>0.6121554952967132</v>
      </c>
      <c r="J140" s="44">
        <v>40.269881767020941</v>
      </c>
      <c r="K140" s="27"/>
      <c r="L140" s="28"/>
      <c r="M140" s="28"/>
      <c r="N140" s="28"/>
      <c r="O140" s="28"/>
      <c r="P140" s="130"/>
    </row>
    <row r="141" spans="2:16" ht="17.25" customHeight="1" x14ac:dyDescent="0.25">
      <c r="B141" s="129"/>
      <c r="C141" s="178" t="s">
        <v>177</v>
      </c>
      <c r="D141" s="178" t="s">
        <v>176</v>
      </c>
      <c r="E141" s="178" t="b">
        <v>0</v>
      </c>
      <c r="F141" s="178" t="s">
        <v>167</v>
      </c>
      <c r="G141" s="178" t="s">
        <v>170</v>
      </c>
      <c r="H141" s="30" t="str">
        <f t="shared" si="3"/>
        <v>Mixed|FALSE|600to700|DrainedArGr</v>
      </c>
      <c r="I141" s="125">
        <v>1.5942492278382674</v>
      </c>
      <c r="J141" s="44">
        <v>41.787233995363181</v>
      </c>
      <c r="K141" s="27"/>
      <c r="L141" s="28"/>
      <c r="M141" s="28"/>
      <c r="N141" s="28"/>
      <c r="O141" s="28"/>
      <c r="P141" s="130"/>
    </row>
    <row r="142" spans="2:16" ht="17.25" customHeight="1" x14ac:dyDescent="0.25">
      <c r="B142" s="129"/>
      <c r="C142" s="178" t="s">
        <v>177</v>
      </c>
      <c r="D142" s="178" t="s">
        <v>176</v>
      </c>
      <c r="E142" s="178" t="b">
        <v>1</v>
      </c>
      <c r="F142" s="178" t="s">
        <v>167</v>
      </c>
      <c r="G142" s="178" t="s">
        <v>170</v>
      </c>
      <c r="H142" s="30" t="str">
        <f t="shared" si="3"/>
        <v>Mixed|TRUE|600to700|DrainedArGr</v>
      </c>
      <c r="I142" s="125">
        <v>1.5890065567705307</v>
      </c>
      <c r="J142" s="44">
        <v>41.448919619062252</v>
      </c>
      <c r="K142" s="27"/>
      <c r="L142" s="28"/>
      <c r="M142" s="28"/>
      <c r="N142" s="28"/>
      <c r="O142" s="28"/>
      <c r="P142" s="130"/>
    </row>
    <row r="143" spans="2:16" ht="17.25" customHeight="1" x14ac:dyDescent="0.25">
      <c r="B143" s="129"/>
      <c r="C143" s="178" t="s">
        <v>177</v>
      </c>
      <c r="D143" s="178" t="s">
        <v>176</v>
      </c>
      <c r="E143" s="178" t="b">
        <v>0</v>
      </c>
      <c r="F143" s="178" t="s">
        <v>171</v>
      </c>
      <c r="G143" s="178" t="s">
        <v>168</v>
      </c>
      <c r="H143" s="30" t="str">
        <f t="shared" si="3"/>
        <v>Mixed|FALSE|700to900|FreeDrain</v>
      </c>
      <c r="I143" s="125">
        <v>0.43695764225166039</v>
      </c>
      <c r="J143" s="44">
        <v>72.390492597498195</v>
      </c>
      <c r="K143" s="27"/>
      <c r="L143" s="28"/>
      <c r="M143" s="28"/>
      <c r="N143" s="28"/>
      <c r="O143" s="28"/>
      <c r="P143" s="130"/>
    </row>
    <row r="144" spans="2:16" ht="17.25" customHeight="1" x14ac:dyDescent="0.25">
      <c r="B144" s="129"/>
      <c r="C144" s="178" t="s">
        <v>177</v>
      </c>
      <c r="D144" s="178" t="s">
        <v>176</v>
      </c>
      <c r="E144" s="178" t="b">
        <v>0</v>
      </c>
      <c r="F144" s="178" t="s">
        <v>171</v>
      </c>
      <c r="G144" s="178" t="s">
        <v>169</v>
      </c>
      <c r="H144" s="30" t="str">
        <f t="shared" si="3"/>
        <v>Mixed|FALSE|700to900|DrainedAr</v>
      </c>
      <c r="I144" s="125">
        <v>1.2786607560152579</v>
      </c>
      <c r="J144" s="44">
        <v>56.372424353282405</v>
      </c>
      <c r="K144" s="27"/>
      <c r="L144" s="28"/>
      <c r="M144" s="28"/>
      <c r="N144" s="28"/>
      <c r="O144" s="28"/>
      <c r="P144" s="130"/>
    </row>
    <row r="145" spans="2:16" ht="17.25" customHeight="1" x14ac:dyDescent="0.25">
      <c r="B145" s="129"/>
      <c r="C145" s="178" t="s">
        <v>177</v>
      </c>
      <c r="D145" s="178" t="s">
        <v>176</v>
      </c>
      <c r="E145" s="178" t="b">
        <v>0</v>
      </c>
      <c r="F145" s="178" t="s">
        <v>171</v>
      </c>
      <c r="G145" s="178" t="s">
        <v>170</v>
      </c>
      <c r="H145" s="30" t="str">
        <f t="shared" si="3"/>
        <v>Mixed|FALSE|700to900|DrainedArGr</v>
      </c>
      <c r="I145" s="125">
        <v>2.625611164861537</v>
      </c>
      <c r="J145" s="44">
        <v>48.104931281118184</v>
      </c>
      <c r="K145" s="27"/>
      <c r="L145" s="28"/>
      <c r="M145" s="28"/>
      <c r="N145" s="28"/>
      <c r="O145" s="28"/>
      <c r="P145" s="130"/>
    </row>
    <row r="146" spans="2:16" ht="17.25" customHeight="1" x14ac:dyDescent="0.25">
      <c r="B146" s="129"/>
      <c r="C146" s="178" t="s">
        <v>177</v>
      </c>
      <c r="D146" s="178" t="s">
        <v>176</v>
      </c>
      <c r="E146" s="178" t="b">
        <v>1</v>
      </c>
      <c r="F146" s="178" t="s">
        <v>171</v>
      </c>
      <c r="G146" s="178" t="s">
        <v>170</v>
      </c>
      <c r="H146" s="30" t="str">
        <f t="shared" si="3"/>
        <v>Mixed|TRUE|700to900|DrainedArGr</v>
      </c>
      <c r="I146" s="125">
        <v>2.6191096212389011</v>
      </c>
      <c r="J146" s="44">
        <v>47.705949026583212</v>
      </c>
      <c r="K146" s="27"/>
      <c r="L146" s="28"/>
      <c r="M146" s="28"/>
      <c r="N146" s="28"/>
      <c r="O146" s="28"/>
      <c r="P146" s="130"/>
    </row>
    <row r="147" spans="2:16" ht="17.25" customHeight="1" x14ac:dyDescent="0.25">
      <c r="B147" s="129"/>
      <c r="C147" s="178" t="s">
        <v>177</v>
      </c>
      <c r="D147" s="178" t="s">
        <v>176</v>
      </c>
      <c r="E147" s="178" t="b">
        <v>0</v>
      </c>
      <c r="F147" s="178" t="s">
        <v>172</v>
      </c>
      <c r="G147" s="178" t="s">
        <v>169</v>
      </c>
      <c r="H147" s="30" t="str">
        <f t="shared" si="3"/>
        <v>Mixed|FALSE|Over1500|DrainedAr</v>
      </c>
      <c r="I147" s="125">
        <v>4.9561922858738239</v>
      </c>
      <c r="J147" s="44">
        <v>97.486964472024752</v>
      </c>
      <c r="K147" s="27"/>
      <c r="L147" s="28"/>
      <c r="M147" s="28"/>
      <c r="N147" s="28"/>
      <c r="O147" s="28"/>
      <c r="P147" s="130"/>
    </row>
    <row r="148" spans="2:16" ht="17.25" customHeight="1" x14ac:dyDescent="0.25">
      <c r="B148" s="129"/>
      <c r="C148" s="178" t="s">
        <v>177</v>
      </c>
      <c r="D148" s="178" t="s">
        <v>176</v>
      </c>
      <c r="E148" s="178" t="b">
        <v>0</v>
      </c>
      <c r="F148" s="178" t="s">
        <v>172</v>
      </c>
      <c r="G148" s="178" t="s">
        <v>170</v>
      </c>
      <c r="H148" s="30" t="str">
        <f t="shared" si="3"/>
        <v>Mixed|FALSE|Over1500|DrainedArGr</v>
      </c>
      <c r="I148" s="125">
        <v>10.649930193468245</v>
      </c>
      <c r="J148" s="44">
        <v>89.439925779583092</v>
      </c>
      <c r="K148" s="27"/>
      <c r="L148" s="28"/>
      <c r="M148" s="28"/>
      <c r="N148" s="28"/>
      <c r="O148" s="28"/>
      <c r="P148" s="130"/>
    </row>
    <row r="149" spans="2:16" x14ac:dyDescent="0.25">
      <c r="B149" s="129"/>
      <c r="C149" s="178" t="s">
        <v>183</v>
      </c>
      <c r="D149" s="178" t="s">
        <v>183</v>
      </c>
      <c r="E149" s="178" t="s">
        <v>183</v>
      </c>
      <c r="F149" s="178" t="s">
        <v>183</v>
      </c>
      <c r="G149" s="186" t="s">
        <v>184</v>
      </c>
      <c r="H149" s="43" t="str">
        <f>"|"&amp;"|"&amp;"|"&amp;G149</f>
        <v>|||Greenspace</v>
      </c>
      <c r="I149" s="187">
        <v>0.02</v>
      </c>
      <c r="J149" s="35">
        <v>3</v>
      </c>
      <c r="K149" s="27"/>
      <c r="L149" s="27"/>
      <c r="M149" s="27"/>
      <c r="N149" s="27"/>
      <c r="O149" s="27"/>
      <c r="P149" s="130"/>
    </row>
    <row r="150" spans="2:16" x14ac:dyDescent="0.25">
      <c r="B150" s="129"/>
      <c r="C150" s="178" t="s">
        <v>183</v>
      </c>
      <c r="D150" s="178" t="s">
        <v>183</v>
      </c>
      <c r="E150" s="178" t="s">
        <v>183</v>
      </c>
      <c r="F150" s="178" t="s">
        <v>183</v>
      </c>
      <c r="G150" s="186" t="s">
        <v>185</v>
      </c>
      <c r="H150" s="43" t="str">
        <f>"|"&amp;"|"&amp;"|"&amp;G150</f>
        <v>|||Community food growing</v>
      </c>
      <c r="I150" s="179">
        <f>IFERROR(VLOOKUP((VLOOKUP('Stage 2'!$E$9,Lookups!$C$186:$D$186,2,FALSE)&amp;"|"&amp;"General"&amp;"|"&amp;"FALSE"&amp;"|"&amp;VLOOKUP('Stage 2'!$E$11,Lookups!$C$160:$E$182,3,FALSE)&amp;"|"&amp;"FreeDrain"),$H$70:$O$203,2,FALSE), IFERROR(VLOOKUP("General"&amp;"|"&amp;VLOOKUP('Stage 2'!$E$11,Lookups!$C$160:$E$182,3,FALSE),$K$70:$O$136,2,FALSE),VLOOKUP("General",D70:O136,11,FALSE)))</f>
        <v>0</v>
      </c>
      <c r="J150" s="180">
        <f>IFERROR(VLOOKUP((VLOOKUP('Stage 2'!$E$9,Lookups!$C$186:$D$186,2,FALSE)&amp;"|"&amp;"General"&amp;"|"&amp;"FALSE"&amp;"|"&amp;VLOOKUP('Stage 2'!$E$11,Lookups!$C$160:$E$182,3,FALSE)&amp;"|"&amp;"FreeDrain"),$H$23:$O$156,3,FALSE), IFERROR(VLOOKUP("General"&amp;"|"&amp;VLOOKUP('Stage 2'!$E$11,Lookups!$C$160:$E$182,3,FALSE),$K$23:$O$89,3,FALSE),VLOOKUP("General",D23:O89,12,FALSE)))</f>
        <v>18.927838735214049</v>
      </c>
      <c r="K150" s="27"/>
      <c r="L150" s="27"/>
      <c r="M150" s="27"/>
      <c r="N150" s="27"/>
      <c r="O150" s="27"/>
      <c r="P150" s="130"/>
    </row>
    <row r="151" spans="2:16" x14ac:dyDescent="0.25">
      <c r="B151" s="129"/>
      <c r="C151" s="178" t="s">
        <v>183</v>
      </c>
      <c r="D151" s="178" t="s">
        <v>183</v>
      </c>
      <c r="E151" s="178" t="s">
        <v>183</v>
      </c>
      <c r="F151" s="178" t="s">
        <v>183</v>
      </c>
      <c r="G151" s="186" t="s">
        <v>116</v>
      </c>
      <c r="H151" s="43" t="str">
        <f>"|"&amp;"|"&amp;"|"&amp;G151</f>
        <v>|||Woodland</v>
      </c>
      <c r="I151" s="187">
        <v>0.02</v>
      </c>
      <c r="J151" s="35">
        <v>3</v>
      </c>
      <c r="K151" s="27"/>
      <c r="L151" s="27"/>
      <c r="M151" s="27"/>
      <c r="N151" s="27"/>
      <c r="O151" s="27"/>
      <c r="P151" s="130"/>
    </row>
    <row r="152" spans="2:16" x14ac:dyDescent="0.25">
      <c r="B152" s="129"/>
      <c r="C152" s="178" t="s">
        <v>183</v>
      </c>
      <c r="D152" s="178" t="s">
        <v>183</v>
      </c>
      <c r="E152" s="178" t="s">
        <v>183</v>
      </c>
      <c r="F152" s="178" t="s">
        <v>183</v>
      </c>
      <c r="G152" s="186" t="s">
        <v>186</v>
      </c>
      <c r="H152" s="43" t="str">
        <f>"|"&amp;"|"&amp;"|"&amp;G152</f>
        <v>|||Shrub</v>
      </c>
      <c r="I152" s="187">
        <v>0.02</v>
      </c>
      <c r="J152" s="35">
        <v>3</v>
      </c>
      <c r="K152" s="27"/>
      <c r="L152" s="27"/>
      <c r="M152" s="27"/>
      <c r="N152" s="27"/>
      <c r="O152" s="27"/>
      <c r="P152" s="130"/>
    </row>
    <row r="153" spans="2:16" x14ac:dyDescent="0.25">
      <c r="B153" s="129"/>
      <c r="C153" s="178" t="s">
        <v>183</v>
      </c>
      <c r="D153" s="178" t="s">
        <v>183</v>
      </c>
      <c r="E153" s="178" t="s">
        <v>183</v>
      </c>
      <c r="F153" s="178" t="s">
        <v>183</v>
      </c>
      <c r="G153" s="186" t="s">
        <v>187</v>
      </c>
      <c r="H153" s="43" t="str">
        <f>"|"&amp;"|"&amp;"|"&amp;G153</f>
        <v>|||Water</v>
      </c>
      <c r="I153" s="187">
        <v>0</v>
      </c>
      <c r="J153" s="35">
        <v>0</v>
      </c>
      <c r="K153" s="27"/>
      <c r="L153" s="27"/>
      <c r="M153" s="27"/>
      <c r="N153" s="27"/>
      <c r="O153" s="27"/>
      <c r="P153" s="130"/>
    </row>
    <row r="154" spans="2:16" x14ac:dyDescent="0.25">
      <c r="B154" s="129"/>
      <c r="C154" s="178" t="s">
        <v>183</v>
      </c>
      <c r="D154" s="178" t="s">
        <v>183</v>
      </c>
      <c r="E154" s="178" t="s">
        <v>183</v>
      </c>
      <c r="F154" s="178" t="s">
        <v>183</v>
      </c>
      <c r="G154" s="43" t="s">
        <v>188</v>
      </c>
      <c r="H154" s="43" t="str">
        <f t="shared" ref="H154:H156" si="4">"|"&amp;"|"&amp;"|"&amp;G154</f>
        <v>|||Residential urban land</v>
      </c>
      <c r="I154" s="125" t="e">
        <f>VLOOKUP('Stage 2'!E11,Lookups!C160:H182,6,FALSE)</f>
        <v>#N/A</v>
      </c>
      <c r="J154" s="35" t="e">
        <f>VLOOKUP('Stage 2'!E11,Lookups!C160:K182,9,FALSE)</f>
        <v>#N/A</v>
      </c>
      <c r="K154" s="27"/>
      <c r="L154" s="27"/>
      <c r="M154" s="27"/>
      <c r="N154" s="27"/>
      <c r="O154" s="27"/>
      <c r="P154" s="130"/>
    </row>
    <row r="155" spans="2:16" x14ac:dyDescent="0.25">
      <c r="B155" s="129"/>
      <c r="C155" s="178" t="s">
        <v>183</v>
      </c>
      <c r="D155" s="178" t="s">
        <v>183</v>
      </c>
      <c r="E155" s="178" t="s">
        <v>183</v>
      </c>
      <c r="F155" s="178" t="s">
        <v>183</v>
      </c>
      <c r="G155" s="43" t="s">
        <v>189</v>
      </c>
      <c r="H155" s="43" t="str">
        <f t="shared" si="4"/>
        <v>|||Commercial/industrial urban land</v>
      </c>
      <c r="I155" s="125" t="e">
        <f>VLOOKUP('Stage 2'!E11,Lookups!C160:I182,7,FALSE)</f>
        <v>#N/A</v>
      </c>
      <c r="J155" s="35" t="e">
        <f>VLOOKUP('Stage 2'!E11,Lookups!C160:M182,10,FALSE)</f>
        <v>#N/A</v>
      </c>
      <c r="K155" s="27"/>
      <c r="L155" s="27"/>
      <c r="M155" s="27"/>
      <c r="N155" s="27"/>
      <c r="O155" s="27"/>
      <c r="P155" s="130"/>
    </row>
    <row r="156" spans="2:16" x14ac:dyDescent="0.25">
      <c r="B156" s="129"/>
      <c r="C156" s="178" t="s">
        <v>183</v>
      </c>
      <c r="D156" s="178" t="s">
        <v>183</v>
      </c>
      <c r="E156" s="178" t="s">
        <v>183</v>
      </c>
      <c r="F156" s="178" t="s">
        <v>183</v>
      </c>
      <c r="G156" s="43" t="s">
        <v>190</v>
      </c>
      <c r="H156" s="43" t="str">
        <f t="shared" si="4"/>
        <v>|||Open urban land</v>
      </c>
      <c r="I156" s="125" t="e">
        <f>VLOOKUP('Stage 2'!E11,Lookups!C160:J182,8,FALSE)</f>
        <v>#N/A</v>
      </c>
      <c r="J156" s="35" t="e">
        <f>VLOOKUP('Stage 2'!E11,Lookups!C160:P182,11,FALSE)</f>
        <v>#N/A</v>
      </c>
      <c r="K156" s="27"/>
      <c r="L156" s="27"/>
      <c r="M156" s="27"/>
      <c r="N156" s="27"/>
      <c r="O156" s="27"/>
      <c r="P156" s="130"/>
    </row>
    <row r="157" spans="2:16" x14ac:dyDescent="0.25">
      <c r="B157" s="129"/>
      <c r="C157" s="27"/>
      <c r="D157" s="27"/>
      <c r="E157" s="27"/>
      <c r="F157" s="27"/>
      <c r="G157" s="27"/>
      <c r="H157" s="27"/>
      <c r="I157" s="28"/>
      <c r="J157" s="28"/>
      <c r="K157" s="27"/>
      <c r="L157" s="27"/>
      <c r="M157" s="27"/>
      <c r="N157" s="27"/>
      <c r="O157" s="27"/>
      <c r="P157" s="130"/>
    </row>
    <row r="158" spans="2:16" x14ac:dyDescent="0.25">
      <c r="B158" s="129"/>
      <c r="C158" s="27" t="s">
        <v>191</v>
      </c>
      <c r="D158" s="27"/>
      <c r="E158" s="27"/>
      <c r="F158" s="27"/>
      <c r="G158" s="27"/>
      <c r="H158" s="27"/>
      <c r="I158" s="28"/>
      <c r="J158" s="28"/>
      <c r="K158" s="27"/>
      <c r="L158" s="27"/>
      <c r="M158" s="27"/>
      <c r="N158" s="27"/>
      <c r="O158" s="27"/>
      <c r="P158" s="130"/>
    </row>
    <row r="159" spans="2:16" ht="30.75" thickBot="1" x14ac:dyDescent="0.3">
      <c r="B159" s="129"/>
      <c r="C159" s="33" t="s">
        <v>192</v>
      </c>
      <c r="D159" s="45" t="s">
        <v>193</v>
      </c>
      <c r="E159" s="45" t="s">
        <v>194</v>
      </c>
      <c r="F159" s="45" t="s">
        <v>195</v>
      </c>
      <c r="G159" s="45" t="s">
        <v>196</v>
      </c>
      <c r="H159" s="45" t="s">
        <v>197</v>
      </c>
      <c r="I159" s="45" t="s">
        <v>198</v>
      </c>
      <c r="J159" s="45" t="s">
        <v>199</v>
      </c>
      <c r="K159" s="45" t="s">
        <v>200</v>
      </c>
      <c r="L159" s="33" t="s">
        <v>201</v>
      </c>
      <c r="M159" s="127" t="s">
        <v>202</v>
      </c>
      <c r="N159" s="15"/>
      <c r="O159" s="15"/>
      <c r="P159" s="130"/>
    </row>
    <row r="160" spans="2:16" ht="15.75" thickTop="1" x14ac:dyDescent="0.25">
      <c r="B160" s="129"/>
      <c r="C160" s="46" t="s">
        <v>203</v>
      </c>
      <c r="D160" s="179">
        <v>516.5</v>
      </c>
      <c r="E160" s="48" t="s">
        <v>204</v>
      </c>
      <c r="F160" s="179">
        <v>47.366326420209788</v>
      </c>
      <c r="G160" s="179">
        <v>63.946326420209786</v>
      </c>
      <c r="H160" s="179">
        <v>1.0030530114375726</v>
      </c>
      <c r="I160" s="179">
        <v>0.73394122788115068</v>
      </c>
      <c r="J160" s="179">
        <v>0.5382235671128438</v>
      </c>
      <c r="K160" s="179">
        <v>9.4130591148709328</v>
      </c>
      <c r="L160" s="181">
        <v>5.0202981945978298</v>
      </c>
      <c r="M160" s="180">
        <v>5.5487506361344439</v>
      </c>
      <c r="N160" s="182"/>
      <c r="O160" s="182"/>
      <c r="P160" s="130"/>
    </row>
    <row r="161" spans="2:16" x14ac:dyDescent="0.25">
      <c r="B161" s="129"/>
      <c r="C161" s="46" t="s">
        <v>205</v>
      </c>
      <c r="D161" s="179">
        <v>537.54999999999995</v>
      </c>
      <c r="E161" s="48" t="s">
        <v>204</v>
      </c>
      <c r="F161" s="179">
        <v>47.605509573313697</v>
      </c>
      <c r="G161" s="179">
        <v>64.185509573313695</v>
      </c>
      <c r="H161" s="179">
        <v>1.049204008516526</v>
      </c>
      <c r="I161" s="179">
        <v>0.76771025013404326</v>
      </c>
      <c r="J161" s="179">
        <v>0.56298751676496517</v>
      </c>
      <c r="K161" s="179">
        <v>9.8333323912734105</v>
      </c>
      <c r="L161" s="181">
        <v>5.2444439420124853</v>
      </c>
      <c r="M161" s="180">
        <v>5.7964906727506413</v>
      </c>
      <c r="N161" s="182"/>
      <c r="O161" s="182"/>
      <c r="P161" s="130"/>
    </row>
    <row r="162" spans="2:16" x14ac:dyDescent="0.25">
      <c r="B162" s="129"/>
      <c r="C162" s="46" t="s">
        <v>206</v>
      </c>
      <c r="D162" s="179">
        <v>562.54999999999995</v>
      </c>
      <c r="E162" s="48" t="s">
        <v>204</v>
      </c>
      <c r="F162" s="179">
        <v>47.8624816470968</v>
      </c>
      <c r="G162" s="179">
        <v>64.442481647096798</v>
      </c>
      <c r="H162" s="179">
        <v>1.1039266010735462</v>
      </c>
      <c r="I162" s="179">
        <v>0.80775117151722908</v>
      </c>
      <c r="J162" s="179">
        <v>0.59235085911263463</v>
      </c>
      <c r="K162" s="179">
        <v>10.331853644413675</v>
      </c>
      <c r="L162" s="181">
        <v>5.5103219436872939</v>
      </c>
      <c r="M162" s="180">
        <v>6.0903558324964822</v>
      </c>
      <c r="N162" s="182"/>
      <c r="O162" s="182"/>
      <c r="P162" s="130"/>
    </row>
    <row r="163" spans="2:16" x14ac:dyDescent="0.25">
      <c r="B163" s="129"/>
      <c r="C163" s="46" t="s">
        <v>207</v>
      </c>
      <c r="D163" s="179">
        <v>587.54999999999995</v>
      </c>
      <c r="E163" s="48" t="s">
        <v>204</v>
      </c>
      <c r="F163" s="179">
        <v>48.089720428979902</v>
      </c>
      <c r="G163" s="179">
        <v>64.6697204289799</v>
      </c>
      <c r="H163" s="179">
        <v>1.1584597247599329</v>
      </c>
      <c r="I163" s="179">
        <v>0.84765345714141427</v>
      </c>
      <c r="J163" s="179">
        <v>0.62161253523703719</v>
      </c>
      <c r="K163" s="179">
        <v>10.829057857843434</v>
      </c>
      <c r="L163" s="181">
        <v>5.775497524183165</v>
      </c>
      <c r="M163" s="180">
        <v>6.3834446319919191</v>
      </c>
      <c r="N163" s="182"/>
      <c r="O163" s="182"/>
      <c r="P163" s="130"/>
    </row>
    <row r="164" spans="2:16" x14ac:dyDescent="0.25">
      <c r="B164" s="129"/>
      <c r="C164" s="46" t="s">
        <v>208</v>
      </c>
      <c r="D164" s="179">
        <v>612.54999999999995</v>
      </c>
      <c r="E164" s="48" t="s">
        <v>167</v>
      </c>
      <c r="F164" s="179">
        <v>48.286892468962989</v>
      </c>
      <c r="G164" s="179">
        <v>64.866892468962988</v>
      </c>
      <c r="H164" s="179">
        <v>1.2127035752563942</v>
      </c>
      <c r="I164" s="179">
        <v>0.88734407945589822</v>
      </c>
      <c r="J164" s="179">
        <v>0.650718991600992</v>
      </c>
      <c r="K164" s="179">
        <v>11.324251269831036</v>
      </c>
      <c r="L164" s="181">
        <v>6.0396006772432189</v>
      </c>
      <c r="M164" s="180">
        <v>6.6753481169530309</v>
      </c>
      <c r="N164" s="182"/>
      <c r="O164" s="182"/>
      <c r="P164" s="130"/>
    </row>
    <row r="165" spans="2:16" x14ac:dyDescent="0.25">
      <c r="B165" s="129"/>
      <c r="C165" s="46" t="s">
        <v>209</v>
      </c>
      <c r="D165" s="179">
        <v>637.54999999999995</v>
      </c>
      <c r="E165" s="48" t="s">
        <v>167</v>
      </c>
      <c r="F165" s="179">
        <v>48.453664317046091</v>
      </c>
      <c r="G165" s="179">
        <v>65.033664317046089</v>
      </c>
      <c r="H165" s="179">
        <v>1.2665569810986419</v>
      </c>
      <c r="I165" s="179">
        <v>0.92674901055998193</v>
      </c>
      <c r="J165" s="179">
        <v>0.67961594107732015</v>
      </c>
      <c r="K165" s="179">
        <v>11.816730615319829</v>
      </c>
      <c r="L165" s="181">
        <v>6.302256328170575</v>
      </c>
      <c r="M165" s="180">
        <v>6.9656517311358979</v>
      </c>
      <c r="N165" s="182"/>
      <c r="O165" s="182"/>
      <c r="P165" s="130"/>
    </row>
    <row r="166" spans="2:16" x14ac:dyDescent="0.25">
      <c r="B166" s="129"/>
      <c r="C166" s="46" t="s">
        <v>210</v>
      </c>
      <c r="D166" s="179">
        <v>662.55</v>
      </c>
      <c r="E166" s="48" t="s">
        <v>167</v>
      </c>
      <c r="F166" s="179">
        <v>48.589702523229192</v>
      </c>
      <c r="G166" s="179">
        <v>65.169702523229191</v>
      </c>
      <c r="H166" s="179">
        <v>1.3199174036773855</v>
      </c>
      <c r="I166" s="179">
        <v>0.96579322220296504</v>
      </c>
      <c r="J166" s="179">
        <v>0.70824836294884108</v>
      </c>
      <c r="K166" s="179">
        <v>12.305783125928167</v>
      </c>
      <c r="L166" s="181">
        <v>6.5630843338283551</v>
      </c>
      <c r="M166" s="180">
        <v>7.2539353163366025</v>
      </c>
      <c r="N166" s="182"/>
      <c r="O166" s="182"/>
      <c r="P166" s="130"/>
    </row>
    <row r="167" spans="2:16" x14ac:dyDescent="0.25">
      <c r="B167" s="129"/>
      <c r="C167" s="46" t="s">
        <v>211</v>
      </c>
      <c r="D167" s="179">
        <v>687.55</v>
      </c>
      <c r="E167" s="48" t="s">
        <v>167</v>
      </c>
      <c r="F167" s="179">
        <v>48.694673637512295</v>
      </c>
      <c r="G167" s="179">
        <v>65.274673637512294</v>
      </c>
      <c r="H167" s="179">
        <v>1.3726809372383346</v>
      </c>
      <c r="I167" s="179">
        <v>1.0044006857841474</v>
      </c>
      <c r="J167" s="179">
        <v>0.73656050290837471</v>
      </c>
      <c r="K167" s="179">
        <v>12.790686529949399</v>
      </c>
      <c r="L167" s="181">
        <v>6.82169948263968</v>
      </c>
      <c r="M167" s="180">
        <v>7.5397731123912237</v>
      </c>
      <c r="N167" s="182"/>
      <c r="O167" s="182"/>
      <c r="P167" s="130"/>
    </row>
    <row r="168" spans="2:16" x14ac:dyDescent="0.25">
      <c r="B168" s="129"/>
      <c r="C168" s="46" t="s">
        <v>212</v>
      </c>
      <c r="D168" s="179">
        <v>725.05</v>
      </c>
      <c r="E168" s="48" t="s">
        <v>171</v>
      </c>
      <c r="F168" s="179">
        <v>48.793150089749446</v>
      </c>
      <c r="G168" s="179">
        <v>65.373150089749444</v>
      </c>
      <c r="H168" s="179">
        <v>1.4504764123754863</v>
      </c>
      <c r="I168" s="179">
        <v>1.0613242041771849</v>
      </c>
      <c r="J168" s="179">
        <v>0.77830441639660242</v>
      </c>
      <c r="K168" s="179">
        <v>13.508658704683258</v>
      </c>
      <c r="L168" s="181">
        <v>7.20461797583107</v>
      </c>
      <c r="M168" s="180">
        <v>7.9629988153922353</v>
      </c>
      <c r="N168" s="182"/>
      <c r="O168" s="182"/>
      <c r="P168" s="130"/>
    </row>
    <row r="169" spans="2:16" x14ac:dyDescent="0.25">
      <c r="B169" s="129"/>
      <c r="C169" s="46" t="s">
        <v>213</v>
      </c>
      <c r="D169" s="179">
        <v>775.05</v>
      </c>
      <c r="E169" s="48" t="s">
        <v>171</v>
      </c>
      <c r="F169" s="179">
        <v>48.817999999999984</v>
      </c>
      <c r="G169" s="179">
        <v>65.397999999999982</v>
      </c>
      <c r="H169" s="179">
        <v>1.5512920268999992</v>
      </c>
      <c r="I169" s="179">
        <v>1.1350917269999994</v>
      </c>
      <c r="J169" s="179">
        <v>0.83240059979999959</v>
      </c>
      <c r="K169" s="179">
        <v>14.445715171499996</v>
      </c>
      <c r="L169" s="181">
        <v>7.7043814247999975</v>
      </c>
      <c r="M169" s="180">
        <v>8.5153689431999986</v>
      </c>
      <c r="N169" s="182"/>
      <c r="O169" s="182"/>
      <c r="P169" s="130"/>
    </row>
    <row r="170" spans="2:16" x14ac:dyDescent="0.25">
      <c r="B170" s="129"/>
      <c r="C170" s="46" t="s">
        <v>214</v>
      </c>
      <c r="D170" s="179">
        <v>825.05</v>
      </c>
      <c r="E170" s="48" t="s">
        <v>171</v>
      </c>
      <c r="F170" s="179">
        <v>48.817999999999984</v>
      </c>
      <c r="G170" s="179">
        <v>65.397999999999982</v>
      </c>
      <c r="H170" s="179">
        <v>1.6513689268999994</v>
      </c>
      <c r="I170" s="179">
        <v>1.2083187269999995</v>
      </c>
      <c r="J170" s="179">
        <v>0.88610039979999966</v>
      </c>
      <c r="K170" s="179">
        <v>15.377636671499994</v>
      </c>
      <c r="L170" s="181">
        <v>8.2014062247999959</v>
      </c>
      <c r="M170" s="180">
        <v>9.064712143199996</v>
      </c>
      <c r="N170" s="182"/>
      <c r="O170" s="182"/>
      <c r="P170" s="130"/>
    </row>
    <row r="171" spans="2:16" x14ac:dyDescent="0.25">
      <c r="B171" s="129"/>
      <c r="C171" s="46" t="s">
        <v>215</v>
      </c>
      <c r="D171" s="179">
        <v>875.05</v>
      </c>
      <c r="E171" s="48" t="s">
        <v>171</v>
      </c>
      <c r="F171" s="179">
        <v>48.817999999999984</v>
      </c>
      <c r="G171" s="179">
        <v>65.397999999999982</v>
      </c>
      <c r="H171" s="179">
        <v>1.7514458268999995</v>
      </c>
      <c r="I171" s="179">
        <v>1.2815457269999997</v>
      </c>
      <c r="J171" s="179">
        <v>0.93980019979999974</v>
      </c>
      <c r="K171" s="179">
        <v>16.309558171499994</v>
      </c>
      <c r="L171" s="181">
        <v>8.6984310247999979</v>
      </c>
      <c r="M171" s="180">
        <v>9.6140553431999969</v>
      </c>
      <c r="N171" s="182"/>
      <c r="O171" s="182"/>
      <c r="P171" s="130"/>
    </row>
    <row r="172" spans="2:16" x14ac:dyDescent="0.25">
      <c r="B172" s="129"/>
      <c r="C172" s="46" t="s">
        <v>216</v>
      </c>
      <c r="D172" s="179">
        <v>925.05</v>
      </c>
      <c r="E172" s="48" t="s">
        <v>178</v>
      </c>
      <c r="F172" s="179">
        <v>48.817999999999984</v>
      </c>
      <c r="G172" s="179">
        <v>65.397999999999982</v>
      </c>
      <c r="H172" s="179">
        <v>1.851522726899999</v>
      </c>
      <c r="I172" s="179">
        <v>1.3547727269999992</v>
      </c>
      <c r="J172" s="179">
        <v>0.99349999979999948</v>
      </c>
      <c r="K172" s="179">
        <v>17.241479671499995</v>
      </c>
      <c r="L172" s="181">
        <v>9.1954558247999962</v>
      </c>
      <c r="M172" s="180">
        <v>10.163398543199996</v>
      </c>
      <c r="N172" s="182"/>
      <c r="O172" s="182"/>
      <c r="P172" s="130"/>
    </row>
    <row r="173" spans="2:16" x14ac:dyDescent="0.25">
      <c r="B173" s="129"/>
      <c r="C173" s="46" t="s">
        <v>217</v>
      </c>
      <c r="D173" s="179">
        <v>975.05</v>
      </c>
      <c r="E173" s="48" t="s">
        <v>178</v>
      </c>
      <c r="F173" s="179">
        <v>48.817999999999984</v>
      </c>
      <c r="G173" s="179">
        <v>65.397999999999982</v>
      </c>
      <c r="H173" s="179">
        <v>1.9515996268999991</v>
      </c>
      <c r="I173" s="179">
        <v>1.4279997269999993</v>
      </c>
      <c r="J173" s="179">
        <v>1.0471997997999996</v>
      </c>
      <c r="K173" s="179">
        <v>18.173401171499993</v>
      </c>
      <c r="L173" s="181">
        <v>9.6924806247999964</v>
      </c>
      <c r="M173" s="180">
        <v>10.712741743199995</v>
      </c>
      <c r="N173" s="182"/>
      <c r="O173" s="182"/>
      <c r="P173" s="130"/>
    </row>
    <row r="174" spans="2:16" x14ac:dyDescent="0.25">
      <c r="B174" s="129"/>
      <c r="C174" s="46" t="s">
        <v>218</v>
      </c>
      <c r="D174" s="179">
        <v>1050.05</v>
      </c>
      <c r="E174" s="48" t="s">
        <v>178</v>
      </c>
      <c r="F174" s="179">
        <v>48.817999999999984</v>
      </c>
      <c r="G174" s="179">
        <v>65.397999999999982</v>
      </c>
      <c r="H174" s="179">
        <v>2.101714976899999</v>
      </c>
      <c r="I174" s="179">
        <v>1.5378402269999993</v>
      </c>
      <c r="J174" s="179">
        <v>1.1277494997999997</v>
      </c>
      <c r="K174" s="179">
        <v>19.571283421499995</v>
      </c>
      <c r="L174" s="181">
        <v>10.438017824799996</v>
      </c>
      <c r="M174" s="180">
        <v>11.536756543199996</v>
      </c>
      <c r="N174" s="182"/>
      <c r="O174" s="182"/>
      <c r="P174" s="130"/>
    </row>
    <row r="175" spans="2:16" x14ac:dyDescent="0.25">
      <c r="B175" s="129"/>
      <c r="C175" s="46" t="s">
        <v>219</v>
      </c>
      <c r="D175" s="179">
        <v>1150.05</v>
      </c>
      <c r="E175" s="48" t="s">
        <v>178</v>
      </c>
      <c r="F175" s="179">
        <v>48.817999999999984</v>
      </c>
      <c r="G175" s="179">
        <v>65.397999999999982</v>
      </c>
      <c r="H175" s="179">
        <v>2.3018687768999988</v>
      </c>
      <c r="I175" s="179">
        <v>1.6842942269999992</v>
      </c>
      <c r="J175" s="179">
        <v>1.2351490997999994</v>
      </c>
      <c r="K175" s="179">
        <v>21.435126421499994</v>
      </c>
      <c r="L175" s="181">
        <v>11.432067424799996</v>
      </c>
      <c r="M175" s="180">
        <v>12.635442943199996</v>
      </c>
      <c r="N175" s="182"/>
      <c r="O175" s="182"/>
      <c r="P175" s="130"/>
    </row>
    <row r="176" spans="2:16" x14ac:dyDescent="0.25">
      <c r="B176" s="129"/>
      <c r="C176" s="46" t="s">
        <v>220</v>
      </c>
      <c r="D176" s="179">
        <v>1300.05</v>
      </c>
      <c r="E176" s="48" t="s">
        <v>221</v>
      </c>
      <c r="F176" s="179">
        <v>48.817999999999984</v>
      </c>
      <c r="G176" s="179">
        <v>65.397999999999982</v>
      </c>
      <c r="H176" s="179">
        <v>2.602099476899999</v>
      </c>
      <c r="I176" s="179">
        <v>1.9039752269999992</v>
      </c>
      <c r="J176" s="179">
        <v>1.3962484997999995</v>
      </c>
      <c r="K176" s="179">
        <v>24.230890921499991</v>
      </c>
      <c r="L176" s="181">
        <v>12.923141824799995</v>
      </c>
      <c r="M176" s="180">
        <v>14.283472543199993</v>
      </c>
      <c r="N176" s="182"/>
      <c r="O176" s="182"/>
      <c r="P176" s="130"/>
    </row>
    <row r="177" spans="2:16" x14ac:dyDescent="0.25">
      <c r="B177" s="129"/>
      <c r="C177" s="46" t="s">
        <v>222</v>
      </c>
      <c r="D177" s="179">
        <v>1500.05</v>
      </c>
      <c r="E177" s="48" t="s">
        <v>221</v>
      </c>
      <c r="F177" s="179">
        <v>48.817999999999984</v>
      </c>
      <c r="G177" s="179">
        <v>65.397999999999982</v>
      </c>
      <c r="H177" s="179">
        <v>3.0024070768999986</v>
      </c>
      <c r="I177" s="179">
        <v>2.1968832269999989</v>
      </c>
      <c r="J177" s="179">
        <v>1.6110476997999994</v>
      </c>
      <c r="K177" s="179">
        <v>27.95857692149999</v>
      </c>
      <c r="L177" s="181">
        <v>14.911241024799995</v>
      </c>
      <c r="M177" s="180">
        <v>16.480845343199995</v>
      </c>
      <c r="N177" s="182"/>
      <c r="O177" s="182"/>
      <c r="P177" s="130"/>
    </row>
    <row r="178" spans="2:16" x14ac:dyDescent="0.25">
      <c r="B178" s="129"/>
      <c r="C178" s="46" t="s">
        <v>223</v>
      </c>
      <c r="D178" s="179">
        <v>1800.05</v>
      </c>
      <c r="E178" s="48" t="s">
        <v>172</v>
      </c>
      <c r="F178" s="179">
        <v>48.817999999999984</v>
      </c>
      <c r="G178" s="179">
        <v>65.397999999999982</v>
      </c>
      <c r="H178" s="179">
        <v>3.6028684768999981</v>
      </c>
      <c r="I178" s="179">
        <v>2.6362452269999985</v>
      </c>
      <c r="J178" s="179">
        <v>1.9332464997999992</v>
      </c>
      <c r="K178" s="179">
        <v>33.550105921499991</v>
      </c>
      <c r="L178" s="181">
        <v>17.893389824799996</v>
      </c>
      <c r="M178" s="180">
        <v>19.776904543199993</v>
      </c>
      <c r="N178" s="182"/>
      <c r="O178" s="182"/>
      <c r="P178" s="130"/>
    </row>
    <row r="179" spans="2:16" x14ac:dyDescent="0.25">
      <c r="B179" s="129"/>
      <c r="C179" s="46" t="s">
        <v>224</v>
      </c>
      <c r="D179" s="179">
        <v>2200.0500000000002</v>
      </c>
      <c r="E179" s="48" t="s">
        <v>172</v>
      </c>
      <c r="F179" s="179">
        <v>48.817999999999984</v>
      </c>
      <c r="G179" s="179">
        <v>65.397999999999982</v>
      </c>
      <c r="H179" s="179">
        <v>4.4034836768999988</v>
      </c>
      <c r="I179" s="179">
        <v>3.2220612269999993</v>
      </c>
      <c r="J179" s="179">
        <v>2.3628448997999998</v>
      </c>
      <c r="K179" s="179">
        <v>41.005477921499988</v>
      </c>
      <c r="L179" s="181">
        <v>21.869588224799994</v>
      </c>
      <c r="M179" s="180">
        <v>24.17165014319999</v>
      </c>
      <c r="N179" s="182"/>
      <c r="O179" s="182"/>
      <c r="P179" s="130"/>
    </row>
    <row r="180" spans="2:16" x14ac:dyDescent="0.25">
      <c r="B180" s="129"/>
      <c r="C180" s="46" t="s">
        <v>225</v>
      </c>
      <c r="D180" s="179">
        <v>2700.05</v>
      </c>
      <c r="E180" s="48" t="s">
        <v>172</v>
      </c>
      <c r="F180" s="179">
        <v>48.817999999999984</v>
      </c>
      <c r="G180" s="179">
        <v>65.397999999999982</v>
      </c>
      <c r="H180" s="179">
        <v>5.4042526768999988</v>
      </c>
      <c r="I180" s="179">
        <v>3.9543312269999986</v>
      </c>
      <c r="J180" s="179">
        <v>2.8998428997999994</v>
      </c>
      <c r="K180" s="179">
        <v>50.324692921499988</v>
      </c>
      <c r="L180" s="181">
        <v>26.839836224799992</v>
      </c>
      <c r="M180" s="180">
        <v>29.665082143199992</v>
      </c>
      <c r="N180" s="182"/>
      <c r="O180" s="182"/>
      <c r="P180" s="130"/>
    </row>
    <row r="181" spans="2:16" x14ac:dyDescent="0.25">
      <c r="B181" s="129"/>
      <c r="C181" s="46" t="s">
        <v>226</v>
      </c>
      <c r="D181" s="179">
        <v>3500.05</v>
      </c>
      <c r="E181" s="48" t="s">
        <v>172</v>
      </c>
      <c r="F181" s="179">
        <v>48.817999999999984</v>
      </c>
      <c r="G181" s="179">
        <v>65.397999999999982</v>
      </c>
      <c r="H181" s="179">
        <v>7.0054830768999983</v>
      </c>
      <c r="I181" s="179">
        <v>5.1259632269999988</v>
      </c>
      <c r="J181" s="179">
        <v>3.7590396997999993</v>
      </c>
      <c r="K181" s="179">
        <v>65.235436921499982</v>
      </c>
      <c r="L181" s="181">
        <v>34.792233024799991</v>
      </c>
      <c r="M181" s="180">
        <v>38.454573343199982</v>
      </c>
      <c r="N181" s="182"/>
      <c r="O181" s="182"/>
      <c r="P181" s="130"/>
    </row>
    <row r="182" spans="2:16" x14ac:dyDescent="0.25">
      <c r="B182" s="129"/>
      <c r="C182" s="46" t="s">
        <v>227</v>
      </c>
      <c r="D182" s="179">
        <v>4750.05</v>
      </c>
      <c r="E182" s="48" t="s">
        <v>172</v>
      </c>
      <c r="F182" s="179">
        <v>48.817999999999984</v>
      </c>
      <c r="G182" s="179">
        <v>65.397999999999982</v>
      </c>
      <c r="H182" s="179">
        <v>9.5074055768999965</v>
      </c>
      <c r="I182" s="179">
        <v>6.9566382269999973</v>
      </c>
      <c r="J182" s="179">
        <v>5.1015346997999984</v>
      </c>
      <c r="K182" s="179">
        <v>88.533474421499989</v>
      </c>
      <c r="L182" s="181">
        <v>47.217853024799986</v>
      </c>
      <c r="M182" s="180">
        <v>52.188153343199986</v>
      </c>
      <c r="N182" s="182"/>
      <c r="O182" s="182"/>
      <c r="P182" s="130"/>
    </row>
    <row r="183" spans="2:16" x14ac:dyDescent="0.25">
      <c r="B183" s="129"/>
      <c r="C183" s="27"/>
      <c r="D183" s="27"/>
      <c r="E183" s="27"/>
      <c r="F183" s="27"/>
      <c r="G183" s="27"/>
      <c r="H183" s="27"/>
      <c r="I183" s="28"/>
      <c r="J183" s="28"/>
      <c r="K183" s="27"/>
      <c r="L183" s="27"/>
      <c r="M183" s="27"/>
      <c r="N183" s="27"/>
      <c r="O183" s="27"/>
      <c r="P183" s="130"/>
    </row>
    <row r="184" spans="2:16" x14ac:dyDescent="0.25">
      <c r="B184" s="129"/>
      <c r="C184" s="27" t="s">
        <v>228</v>
      </c>
      <c r="D184" s="27"/>
      <c r="E184" s="27"/>
      <c r="F184" s="27"/>
      <c r="G184" s="27" t="s">
        <v>229</v>
      </c>
      <c r="H184" s="27"/>
      <c r="I184" s="27" t="s">
        <v>230</v>
      </c>
      <c r="J184" s="28"/>
      <c r="K184" s="27"/>
      <c r="L184" s="27"/>
      <c r="M184" s="27"/>
      <c r="N184" s="27"/>
      <c r="O184" s="27"/>
      <c r="P184" s="130"/>
    </row>
    <row r="185" spans="2:16" ht="15.75" thickBot="1" x14ac:dyDescent="0.3">
      <c r="B185" s="129"/>
      <c r="C185" s="33" t="s">
        <v>231</v>
      </c>
      <c r="D185" s="39" t="s">
        <v>232</v>
      </c>
      <c r="E185" s="27"/>
      <c r="F185" s="27"/>
      <c r="G185" s="36" t="s">
        <v>233</v>
      </c>
      <c r="H185" s="27"/>
      <c r="I185" s="36" t="s">
        <v>234</v>
      </c>
      <c r="J185" s="28"/>
      <c r="K185" s="27"/>
      <c r="L185" s="27"/>
      <c r="M185" s="27"/>
      <c r="N185" s="27"/>
      <c r="O185" s="27"/>
      <c r="P185" s="130"/>
    </row>
    <row r="186" spans="2:16" ht="15.75" thickTop="1" x14ac:dyDescent="0.25">
      <c r="B186" s="129"/>
      <c r="C186" s="34" t="s">
        <v>166</v>
      </c>
      <c r="D186" s="40" t="s">
        <v>166</v>
      </c>
      <c r="E186" s="27"/>
      <c r="F186" s="27"/>
      <c r="G186" s="185" t="s">
        <v>111</v>
      </c>
      <c r="H186" s="27"/>
      <c r="I186" s="185" t="s">
        <v>111</v>
      </c>
      <c r="J186" s="28"/>
      <c r="K186" s="27"/>
      <c r="L186" s="27"/>
      <c r="M186" s="27"/>
      <c r="N186" s="27"/>
      <c r="O186" s="27"/>
      <c r="P186" s="130"/>
    </row>
    <row r="187" spans="2:16" x14ac:dyDescent="0.25">
      <c r="B187" s="129"/>
      <c r="C187" s="34" t="s">
        <v>235</v>
      </c>
      <c r="D187" s="40" t="s">
        <v>235</v>
      </c>
      <c r="E187" s="27"/>
      <c r="F187" s="27"/>
      <c r="G187" s="37" t="s">
        <v>173</v>
      </c>
      <c r="H187" s="27"/>
      <c r="I187" s="37" t="s">
        <v>173</v>
      </c>
      <c r="J187" s="28"/>
      <c r="K187" s="27"/>
      <c r="L187" s="27"/>
      <c r="M187" s="27"/>
      <c r="N187" s="27"/>
      <c r="O187" s="27"/>
      <c r="P187" s="130"/>
    </row>
    <row r="188" spans="2:16" x14ac:dyDescent="0.25">
      <c r="B188" s="129"/>
      <c r="C188" s="27"/>
      <c r="D188" s="27"/>
      <c r="E188" s="27"/>
      <c r="F188" s="27"/>
      <c r="G188" s="37" t="s">
        <v>179</v>
      </c>
      <c r="H188" s="27"/>
      <c r="I188" s="37" t="s">
        <v>174</v>
      </c>
      <c r="J188" s="27"/>
      <c r="K188" s="27"/>
      <c r="L188" s="27"/>
      <c r="M188" s="27"/>
      <c r="N188" s="27"/>
      <c r="O188" s="27"/>
      <c r="P188" s="130"/>
    </row>
    <row r="189" spans="2:16" x14ac:dyDescent="0.25">
      <c r="B189" s="129"/>
      <c r="C189" s="27" t="s">
        <v>236</v>
      </c>
      <c r="D189" s="27"/>
      <c r="E189" s="27"/>
      <c r="F189" s="27"/>
      <c r="G189" s="37" t="s">
        <v>180</v>
      </c>
      <c r="H189" s="29"/>
      <c r="I189" s="37" t="s">
        <v>175</v>
      </c>
      <c r="J189" s="27"/>
      <c r="K189" s="27"/>
      <c r="L189" s="27"/>
      <c r="M189" s="27"/>
      <c r="N189" s="27"/>
      <c r="O189" s="27"/>
      <c r="P189" s="130"/>
    </row>
    <row r="190" spans="2:16" ht="15.75" thickBot="1" x14ac:dyDescent="0.3">
      <c r="B190" s="129"/>
      <c r="C190" s="32" t="s">
        <v>237</v>
      </c>
      <c r="D190" s="31" t="s">
        <v>238</v>
      </c>
      <c r="E190" s="41" t="s">
        <v>239</v>
      </c>
      <c r="F190" s="27"/>
      <c r="G190" s="37" t="s">
        <v>181</v>
      </c>
      <c r="H190" s="27"/>
      <c r="I190" s="37" t="s">
        <v>176</v>
      </c>
      <c r="J190" s="27"/>
      <c r="K190" s="27"/>
      <c r="L190" s="27"/>
      <c r="M190" s="27"/>
      <c r="N190" s="27"/>
      <c r="O190" s="27"/>
      <c r="P190" s="130"/>
    </row>
    <row r="191" spans="2:16" ht="15.75" thickTop="1" x14ac:dyDescent="0.25">
      <c r="B191" s="129"/>
      <c r="C191" s="42" t="s">
        <v>240</v>
      </c>
      <c r="D191" s="43" t="s">
        <v>168</v>
      </c>
      <c r="E191" s="40" t="s">
        <v>241</v>
      </c>
      <c r="F191" s="27"/>
      <c r="G191" s="37" t="s">
        <v>182</v>
      </c>
      <c r="H191" s="27"/>
      <c r="I191" s="38" t="s">
        <v>184</v>
      </c>
      <c r="J191" s="27"/>
      <c r="K191" s="27"/>
      <c r="L191" s="27"/>
      <c r="M191" s="27"/>
      <c r="N191" s="27"/>
      <c r="O191" s="27"/>
      <c r="P191" s="130"/>
    </row>
    <row r="192" spans="2:16" x14ac:dyDescent="0.25">
      <c r="B192" s="129"/>
      <c r="C192" s="42" t="s">
        <v>242</v>
      </c>
      <c r="D192" s="43" t="s">
        <v>169</v>
      </c>
      <c r="E192" s="40" t="s">
        <v>243</v>
      </c>
      <c r="F192" s="27"/>
      <c r="G192" s="37" t="s">
        <v>174</v>
      </c>
      <c r="H192" s="27"/>
      <c r="I192" s="38" t="s">
        <v>116</v>
      </c>
      <c r="J192" s="27"/>
      <c r="K192" s="27"/>
      <c r="L192" s="27"/>
      <c r="M192" s="27"/>
      <c r="N192" s="27"/>
      <c r="O192" s="27"/>
      <c r="P192" s="130"/>
    </row>
    <row r="193" spans="2:16" x14ac:dyDescent="0.25">
      <c r="B193" s="129"/>
      <c r="C193" s="42" t="s">
        <v>244</v>
      </c>
      <c r="D193" s="43" t="s">
        <v>170</v>
      </c>
      <c r="E193" s="40" t="s">
        <v>245</v>
      </c>
      <c r="F193" s="27"/>
      <c r="G193" s="37" t="s">
        <v>175</v>
      </c>
      <c r="H193" s="27"/>
      <c r="I193" s="38" t="s">
        <v>186</v>
      </c>
      <c r="J193" s="27"/>
      <c r="K193" s="27"/>
      <c r="L193" s="27"/>
      <c r="M193" s="27"/>
      <c r="N193" s="27"/>
      <c r="O193" s="27"/>
      <c r="P193" s="130"/>
    </row>
    <row r="194" spans="2:16" x14ac:dyDescent="0.25">
      <c r="B194" s="129"/>
      <c r="C194" s="34" t="s">
        <v>246</v>
      </c>
      <c r="D194" s="43" t="s">
        <v>169</v>
      </c>
      <c r="E194" s="40" t="s">
        <v>243</v>
      </c>
      <c r="F194" s="27"/>
      <c r="G194" s="37" t="s">
        <v>176</v>
      </c>
      <c r="H194" s="27"/>
      <c r="I194" s="38" t="s">
        <v>187</v>
      </c>
      <c r="J194" s="27"/>
      <c r="K194" s="27"/>
      <c r="L194" s="27"/>
      <c r="M194" s="27"/>
      <c r="N194" s="27"/>
      <c r="O194" s="27"/>
      <c r="P194" s="130"/>
    </row>
    <row r="195" spans="2:16" x14ac:dyDescent="0.25">
      <c r="B195" s="129"/>
      <c r="C195" s="34" t="s">
        <v>247</v>
      </c>
      <c r="D195" s="43" t="s">
        <v>169</v>
      </c>
      <c r="E195" s="40" t="s">
        <v>243</v>
      </c>
      <c r="F195" s="27"/>
      <c r="G195" s="38" t="s">
        <v>184</v>
      </c>
      <c r="H195" s="27"/>
      <c r="I195" s="37" t="s">
        <v>188</v>
      </c>
      <c r="J195" s="27"/>
      <c r="K195" s="27"/>
      <c r="L195" s="27"/>
      <c r="M195" s="27"/>
      <c r="N195" s="27"/>
      <c r="O195" s="27"/>
      <c r="P195" s="130"/>
    </row>
    <row r="196" spans="2:16" x14ac:dyDescent="0.25">
      <c r="B196" s="129"/>
      <c r="C196" s="42" t="s">
        <v>248</v>
      </c>
      <c r="D196" s="43" t="s">
        <v>169</v>
      </c>
      <c r="E196" s="37" t="s">
        <v>243</v>
      </c>
      <c r="F196" s="27"/>
      <c r="G196" s="38" t="s">
        <v>116</v>
      </c>
      <c r="H196" s="27"/>
      <c r="I196" s="37" t="s">
        <v>249</v>
      </c>
      <c r="J196" s="27"/>
      <c r="K196" s="27"/>
      <c r="L196" s="27"/>
      <c r="M196" s="27"/>
      <c r="N196" s="27"/>
      <c r="O196" s="27"/>
      <c r="P196" s="130"/>
    </row>
    <row r="197" spans="2:16" x14ac:dyDescent="0.25">
      <c r="B197" s="129"/>
      <c r="C197" s="27"/>
      <c r="D197" s="28"/>
      <c r="E197" s="27"/>
      <c r="F197" s="27"/>
      <c r="G197" s="38" t="s">
        <v>186</v>
      </c>
      <c r="H197" s="27"/>
      <c r="I197" s="37" t="s">
        <v>190</v>
      </c>
      <c r="J197" s="27"/>
      <c r="K197" s="27"/>
      <c r="L197" s="27"/>
      <c r="M197" s="27"/>
      <c r="N197" s="27"/>
      <c r="O197" s="27"/>
      <c r="P197" s="130"/>
    </row>
    <row r="198" spans="2:16" x14ac:dyDescent="0.25">
      <c r="B198" s="129"/>
      <c r="C198" s="27" t="s">
        <v>250</v>
      </c>
      <c r="D198" s="28"/>
      <c r="E198" s="27"/>
      <c r="F198" s="27"/>
      <c r="G198" s="38" t="s">
        <v>187</v>
      </c>
      <c r="H198" s="27"/>
      <c r="I198" s="37" t="s">
        <v>185</v>
      </c>
      <c r="J198" s="27"/>
      <c r="K198" s="27"/>
      <c r="L198" s="27"/>
      <c r="M198" s="27"/>
      <c r="N198" s="27"/>
      <c r="O198" s="27"/>
      <c r="P198" s="130"/>
    </row>
    <row r="199" spans="2:16" ht="15.75" thickBot="1" x14ac:dyDescent="0.3">
      <c r="B199" s="129"/>
      <c r="C199" s="183" t="s">
        <v>155</v>
      </c>
      <c r="D199" s="36" t="s">
        <v>232</v>
      </c>
      <c r="E199" s="27"/>
      <c r="F199" s="27"/>
      <c r="G199" s="37" t="s">
        <v>188</v>
      </c>
      <c r="H199" s="27"/>
      <c r="I199" s="22"/>
      <c r="J199" s="27"/>
      <c r="K199" s="27"/>
      <c r="L199" s="27"/>
      <c r="M199" s="27"/>
      <c r="N199" s="27"/>
      <c r="O199" s="27"/>
      <c r="P199" s="130"/>
    </row>
    <row r="200" spans="2:16" ht="15.75" thickTop="1" x14ac:dyDescent="0.25">
      <c r="B200" s="129"/>
      <c r="C200" s="34" t="s">
        <v>251</v>
      </c>
      <c r="D200" s="35" t="b">
        <v>1</v>
      </c>
      <c r="E200" s="27"/>
      <c r="F200" s="27"/>
      <c r="G200" s="37" t="s">
        <v>249</v>
      </c>
      <c r="H200" s="27"/>
      <c r="I200" s="22"/>
      <c r="J200" s="27"/>
      <c r="K200" s="27"/>
      <c r="L200" s="27"/>
      <c r="M200" s="27"/>
      <c r="N200" s="27"/>
      <c r="O200" s="27"/>
      <c r="P200" s="130"/>
    </row>
    <row r="201" spans="2:16" x14ac:dyDescent="0.25">
      <c r="B201" s="129"/>
      <c r="C201" s="34" t="s">
        <v>252</v>
      </c>
      <c r="D201" s="35" t="b">
        <v>0</v>
      </c>
      <c r="E201" s="27"/>
      <c r="F201" s="27"/>
      <c r="G201" s="37" t="s">
        <v>190</v>
      </c>
      <c r="H201" s="27"/>
      <c r="I201" s="22"/>
      <c r="J201" s="27"/>
      <c r="K201" s="27"/>
      <c r="L201" s="27"/>
      <c r="M201" s="27"/>
      <c r="N201" s="27"/>
      <c r="O201" s="27"/>
      <c r="P201" s="130"/>
    </row>
    <row r="202" spans="2:16" x14ac:dyDescent="0.25">
      <c r="B202" s="129"/>
      <c r="C202" s="27"/>
      <c r="D202" s="28"/>
      <c r="E202" s="28"/>
      <c r="F202" s="27"/>
      <c r="G202" s="30" t="s">
        <v>185</v>
      </c>
      <c r="H202" s="27"/>
      <c r="I202" s="22"/>
      <c r="J202" s="22"/>
      <c r="K202" s="22"/>
      <c r="L202" s="22"/>
      <c r="M202" s="22"/>
      <c r="N202" s="22"/>
      <c r="O202" s="22"/>
      <c r="P202" s="130"/>
    </row>
    <row r="203" spans="2:16" ht="15.75" thickBot="1" x14ac:dyDescent="0.3">
      <c r="B203" s="188"/>
      <c r="C203" s="171"/>
      <c r="D203" s="172"/>
      <c r="E203" s="172"/>
      <c r="F203" s="171"/>
      <c r="G203" s="173"/>
      <c r="H203" s="173"/>
      <c r="I203" s="173"/>
      <c r="J203" s="173"/>
      <c r="K203" s="173"/>
      <c r="L203" s="173"/>
      <c r="M203" s="173"/>
      <c r="N203" s="173"/>
      <c r="O203" s="173"/>
      <c r="P203" s="189"/>
    </row>
    <row r="204" spans="2:16" ht="15.75" thickTop="1" x14ac:dyDescent="0.25">
      <c r="F204" s="37"/>
      <c r="H204" s="30"/>
    </row>
    <row r="205" spans="2:16" x14ac:dyDescent="0.25">
      <c r="F205" s="37"/>
      <c r="G205" s="37"/>
      <c r="H205" s="37"/>
      <c r="I205" s="35"/>
      <c r="J205" s="35"/>
      <c r="K205" s="30"/>
    </row>
    <row r="206" spans="2:16" x14ac:dyDescent="0.25">
      <c r="F206" s="37"/>
      <c r="G206" s="37"/>
      <c r="H206" s="37"/>
      <c r="I206" s="35"/>
      <c r="J206" s="35"/>
      <c r="K206" s="30"/>
    </row>
    <row r="207" spans="2:16" x14ac:dyDescent="0.25">
      <c r="F207" s="37"/>
      <c r="G207" s="37"/>
      <c r="H207" s="37"/>
      <c r="I207" s="35"/>
      <c r="J207" s="35"/>
      <c r="K207" s="30"/>
    </row>
    <row r="208" spans="2:16" x14ac:dyDescent="0.25">
      <c r="F208" s="37"/>
      <c r="G208" s="37"/>
      <c r="H208" s="37"/>
      <c r="I208" s="35"/>
      <c r="J208" s="35"/>
      <c r="K208" s="30"/>
    </row>
    <row r="209" spans="6:16" x14ac:dyDescent="0.25">
      <c r="F209" s="37"/>
      <c r="G209" s="37"/>
      <c r="H209" s="37"/>
      <c r="I209" s="35"/>
      <c r="J209" s="35"/>
      <c r="K209" s="30"/>
    </row>
    <row r="210" spans="6:16" x14ac:dyDescent="0.25">
      <c r="F210" s="37"/>
      <c r="G210" s="37"/>
      <c r="H210" s="37"/>
      <c r="I210" s="35"/>
      <c r="J210" s="35"/>
      <c r="K210" s="30"/>
    </row>
    <row r="211" spans="6:16" x14ac:dyDescent="0.25">
      <c r="F211" s="37"/>
      <c r="G211" s="37"/>
      <c r="H211" s="37"/>
      <c r="I211" s="35"/>
      <c r="J211" s="35"/>
      <c r="K211" s="30"/>
    </row>
    <row r="212" spans="6:16" x14ac:dyDescent="0.25">
      <c r="F212" s="37"/>
      <c r="G212" s="37"/>
      <c r="H212" s="37"/>
      <c r="I212" s="35"/>
      <c r="J212" s="35"/>
      <c r="K212" s="30"/>
    </row>
    <row r="213" spans="6:16" x14ac:dyDescent="0.25">
      <c r="F213" s="37"/>
      <c r="G213" s="37"/>
      <c r="H213" s="37"/>
      <c r="I213" s="35"/>
      <c r="J213" s="35"/>
      <c r="K213" s="30"/>
    </row>
    <row r="214" spans="6:16" x14ac:dyDescent="0.25">
      <c r="F214" s="37"/>
      <c r="G214" s="37"/>
      <c r="H214" s="37"/>
      <c r="I214" s="35"/>
      <c r="J214" s="35"/>
      <c r="K214" s="30"/>
    </row>
    <row r="215" spans="6:16" x14ac:dyDescent="0.25">
      <c r="F215" s="37"/>
      <c r="G215" s="37"/>
      <c r="H215" s="37"/>
      <c r="I215" s="35"/>
      <c r="J215" s="35"/>
      <c r="K215" s="30"/>
    </row>
    <row r="216" spans="6:16" x14ac:dyDescent="0.25">
      <c r="F216" s="37"/>
      <c r="G216" s="37"/>
      <c r="H216" s="37"/>
      <c r="I216" s="35"/>
      <c r="J216" s="35"/>
      <c r="K216" s="30"/>
    </row>
    <row r="217" spans="6:16" x14ac:dyDescent="0.25">
      <c r="F217" s="37"/>
      <c r="G217" s="37"/>
      <c r="H217" s="37"/>
      <c r="I217" s="35"/>
      <c r="J217" s="35"/>
      <c r="K217" s="30"/>
    </row>
    <row r="218" spans="6:16" x14ac:dyDescent="0.25">
      <c r="F218" s="37"/>
      <c r="G218" s="37"/>
      <c r="H218" s="37"/>
      <c r="I218" s="35"/>
      <c r="J218" s="35"/>
      <c r="K218" s="30"/>
    </row>
    <row r="219" spans="6:16" x14ac:dyDescent="0.25">
      <c r="F219" s="37"/>
      <c r="G219" s="37"/>
      <c r="H219" s="37"/>
      <c r="I219" s="35"/>
      <c r="J219" s="35"/>
      <c r="K219" s="30"/>
    </row>
    <row r="220" spans="6:16" x14ac:dyDescent="0.25">
      <c r="F220" s="37"/>
      <c r="G220" s="37"/>
      <c r="H220" s="37"/>
      <c r="I220" s="35"/>
      <c r="J220" s="35"/>
      <c r="K220" s="30"/>
    </row>
    <row r="221" spans="6:16" x14ac:dyDescent="0.25">
      <c r="F221" s="37"/>
      <c r="G221" s="37"/>
      <c r="H221" s="37"/>
      <c r="I221" s="35"/>
      <c r="J221" s="35"/>
      <c r="K221" s="30"/>
      <c r="L221" s="30"/>
      <c r="M221" s="30"/>
      <c r="N221" s="30"/>
      <c r="O221" s="30"/>
      <c r="P221" s="30"/>
    </row>
  </sheetData>
  <sheetProtection algorithmName="SHA-512" hashValue="DQssL6uGURkYJebaNGbbz4ECc0JIJlUXUZJxGMnuflLxGyaz3I+mR+EA5dE9G4CEy5ZF6p1j2Dwc9hqlKdieFA==" saltValue="eDlBHB17HBpqMe1Pb4KEgg==" spinCount="100000" sheet="1" objects="1" scenarios="1"/>
  <mergeCells count="1">
    <mergeCell ref="B2:P4"/>
  </mergeCells>
  <phoneticPr fontId="29" type="noConversion"/>
  <dataValidations count="1">
    <dataValidation allowBlank="1" showInputMessage="1" showErrorMessage="1" prompt="This value is dependent on the rainfall volume." sqref="I154:J156 I150:J150"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5683c3d7-aa5c-4165-b9bd-83396eb85818" xsi:nil="true"/>
    <_ip_UnifiedCompliancePolicyProperties xmlns="http://schemas.microsoft.com/sharepoint/v3" xsi:nil="true"/>
    <DateandTime xmlns="5683c3d7-aa5c-4165-b9bd-83396eb858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B610E12852F845B0F14FC663F1C296" ma:contentTypeVersion="17" ma:contentTypeDescription="Create a new document." ma:contentTypeScope="" ma:versionID="03732f25bfee916b58495d5b8a786410">
  <xsd:schema xmlns:xsd="http://www.w3.org/2001/XMLSchema" xmlns:xs="http://www.w3.org/2001/XMLSchema" xmlns:p="http://schemas.microsoft.com/office/2006/metadata/properties" xmlns:ns1="http://schemas.microsoft.com/sharepoint/v3" xmlns:ns2="918be825-097a-4c4e-8894-9a02a6d3441b" xmlns:ns3="5683c3d7-aa5c-4165-b9bd-83396eb85818" targetNamespace="http://schemas.microsoft.com/office/2006/metadata/properties" ma:root="true" ma:fieldsID="06475b343477fdc1bc20ca0f95157cd3" ns1:_="" ns2:_="" ns3:_="">
    <xsd:import namespace="http://schemas.microsoft.com/sharepoint/v3"/>
    <xsd:import namespace="918be825-097a-4c4e-8894-9a02a6d3441b"/>
    <xsd:import namespace="5683c3d7-aa5c-4165-b9bd-83396eb858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eandTime"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be825-097a-4c4e-8894-9a02a6d344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83c3d7-aa5c-4165-b9bd-83396eb858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EA4C7B-1554-4B65-BFFE-000000C440AD}">
  <ds:schemaRefs>
    <ds:schemaRef ds:uri="http://schemas.microsoft.com/sharepoint/v3/contenttype/forms"/>
  </ds:schemaRefs>
</ds:datastoreItem>
</file>

<file path=customXml/itemProps2.xml><?xml version="1.0" encoding="utf-8"?>
<ds:datastoreItem xmlns:ds="http://schemas.openxmlformats.org/officeDocument/2006/customXml" ds:itemID="{94096252-8B59-44AC-92F8-A7A46C1432AF}">
  <ds:schemaRefs>
    <ds:schemaRef ds:uri="http://schemas.microsoft.com/office/2006/metadata/properties"/>
    <ds:schemaRef ds:uri="http://schemas.microsoft.com/office/infopath/2007/PartnerControls"/>
    <ds:schemaRef ds:uri="http://schemas.microsoft.com/sharepoint/v3"/>
    <ds:schemaRef ds:uri="5683c3d7-aa5c-4165-b9bd-83396eb85818"/>
  </ds:schemaRefs>
</ds:datastoreItem>
</file>

<file path=customXml/itemProps3.xml><?xml version="1.0" encoding="utf-8"?>
<ds:datastoreItem xmlns:ds="http://schemas.openxmlformats.org/officeDocument/2006/customXml" ds:itemID="{564C360B-6C10-4002-9DE6-290BD1F73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8be825-097a-4c4e-8894-9a02a6d3441b"/>
    <ds:schemaRef ds:uri="5683c3d7-aa5c-4165-b9bd-83396eb858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Lindisfarne SPA Ramsar</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Joanne Purnell</cp:lastModifiedBy>
  <cp:revision/>
  <dcterms:created xsi:type="dcterms:W3CDTF">2021-10-14T13:24:34Z</dcterms:created>
  <dcterms:modified xsi:type="dcterms:W3CDTF">2022-05-11T08:51:47Z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0x01010027B610E12852F845B0F14FC663F1C296</vt:lpwstr>
  </property>
</Properties>
</file>