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0" windowWidth="8460" windowHeight="4680" activeTab="0"/>
  </bookViews>
  <sheets>
    <sheet name="MS PM III" sheetId="1" r:id="rId1"/>
    <sheet name="MS GDO" sheetId="2" r:id="rId2"/>
    <sheet name="MS PM IV" sheetId="3" r:id="rId3"/>
  </sheets>
  <definedNames/>
  <calcPr fullCalcOnLoad="1"/>
</workbook>
</file>

<file path=xl/sharedStrings.xml><?xml version="1.0" encoding="utf-8"?>
<sst xmlns="http://schemas.openxmlformats.org/spreadsheetml/2006/main" count="220" uniqueCount="56">
  <si>
    <t>drawdown</t>
  </si>
  <si>
    <t>date</t>
  </si>
  <si>
    <t>$</t>
  </si>
  <si>
    <t>distribution</t>
  </si>
  <si>
    <t>recallable</t>
  </si>
  <si>
    <t>allocation of</t>
  </si>
  <si>
    <t>interest</t>
  </si>
  <si>
    <t xml:space="preserve">management </t>
  </si>
  <si>
    <t>fee</t>
  </si>
  <si>
    <t>interest on</t>
  </si>
  <si>
    <t xml:space="preserve">cash </t>
  </si>
  <si>
    <t>made</t>
  </si>
  <si>
    <t>on $45m</t>
  </si>
  <si>
    <t>on $5m</t>
  </si>
  <si>
    <t>on $50m</t>
  </si>
  <si>
    <t>Committed $45 million (7 April 2006) then $5 million (19 May 2006)</t>
  </si>
  <si>
    <t xml:space="preserve">payment </t>
  </si>
  <si>
    <t>Morgan Stanley Private Markets III</t>
  </si>
  <si>
    <t>Morgan Stanley GDO Fund</t>
  </si>
  <si>
    <t xml:space="preserve">Committed 10 million (21 December 2006) </t>
  </si>
  <si>
    <t>on $10m</t>
  </si>
  <si>
    <t xml:space="preserve">Total </t>
  </si>
  <si>
    <t>for Feb 07 Panel</t>
  </si>
  <si>
    <t>BV</t>
  </si>
  <si>
    <t>Cumulative BV</t>
  </si>
  <si>
    <t xml:space="preserve">per Morgan Stanley </t>
  </si>
  <si>
    <t>Schedule of Partners'</t>
  </si>
  <si>
    <t>Capital</t>
  </si>
  <si>
    <t>B/fwd</t>
  </si>
  <si>
    <t>Cumulative Net</t>
  </si>
  <si>
    <t>Capital Usage</t>
  </si>
  <si>
    <t>Morgan Stanley Private Markets IV</t>
  </si>
  <si>
    <t>on $30m</t>
  </si>
  <si>
    <t>Committed $30 million (7 Dec 2007)</t>
  </si>
  <si>
    <t>for the year 2007/08</t>
  </si>
  <si>
    <t>Cumulatives</t>
  </si>
  <si>
    <t>for the year 2008/09</t>
  </si>
  <si>
    <t>Cumulatives again</t>
  </si>
  <si>
    <t>Capital contribution</t>
  </si>
  <si>
    <t>Recallable contribution</t>
  </si>
  <si>
    <t>Net funded commitment</t>
  </si>
  <si>
    <t>for the year 2009/10</t>
  </si>
  <si>
    <t>for the year 2010/11</t>
  </si>
  <si>
    <t xml:space="preserve">Net cash contributed </t>
  </si>
  <si>
    <t>per MSIM</t>
  </si>
  <si>
    <t>for the year 2011/12</t>
  </si>
  <si>
    <t>received April 12</t>
  </si>
  <si>
    <t>return of</t>
  </si>
  <si>
    <t>excess</t>
  </si>
  <si>
    <t>capital</t>
  </si>
  <si>
    <t>for the year 2012/13</t>
  </si>
  <si>
    <t>for the year 2013/14</t>
  </si>
  <si>
    <t>for the year 2014/15</t>
  </si>
  <si>
    <t>per NT</t>
  </si>
  <si>
    <t>total $50 million</t>
  </si>
  <si>
    <t>end july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</si>
</sst>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809]dd\ mmmm\ yyyy"/>
  </numFmts>
  <fonts count="43">
    <font>
      <sz val="10"/>
      <name val="Arial"/>
      <family val="0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Baskerville Old Face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4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165" fontId="1" fillId="0" borderId="0" xfId="42" applyNumberFormat="1" applyFont="1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2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3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165" fontId="0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1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 horizontal="center"/>
    </xf>
    <xf numFmtId="43" fontId="2" fillId="0" borderId="0" xfId="42" applyFont="1" applyAlignment="1">
      <alignment horizontal="center"/>
    </xf>
    <xf numFmtId="165" fontId="4" fillId="0" borderId="11" xfId="42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2" fillId="0" borderId="0" xfId="42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42" applyNumberFormat="1" applyFont="1" applyAlignment="1">
      <alignment horizontal="center"/>
    </xf>
    <xf numFmtId="3" fontId="4" fillId="0" borderId="10" xfId="42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4" fontId="2" fillId="0" borderId="0" xfId="0" applyNumberFormat="1" applyFont="1" applyAlignment="1">
      <alignment horizontal="center"/>
    </xf>
    <xf numFmtId="165" fontId="0" fillId="0" borderId="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165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65" fontId="5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  <xf numFmtId="0" fontId="6" fillId="0" borderId="0" xfId="0" applyFont="1" applyAlignment="1">
      <alignment/>
    </xf>
    <xf numFmtId="165" fontId="6" fillId="0" borderId="0" xfId="42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4" fontId="4" fillId="0" borderId="0" xfId="0" applyNumberFormat="1" applyFont="1" applyAlignment="1">
      <alignment/>
    </xf>
    <xf numFmtId="43" fontId="4" fillId="0" borderId="0" xfId="42" applyFont="1" applyAlignment="1">
      <alignment/>
    </xf>
    <xf numFmtId="3" fontId="4" fillId="0" borderId="0" xfId="0" applyNumberFormat="1" applyFont="1" applyAlignment="1">
      <alignment/>
    </xf>
    <xf numFmtId="3" fontId="4" fillId="0" borderId="0" xfId="42" applyNumberFormat="1" applyFont="1" applyAlignment="1">
      <alignment/>
    </xf>
    <xf numFmtId="14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/>
    </xf>
    <xf numFmtId="41" fontId="0" fillId="0" borderId="0" xfId="42" applyNumberFormat="1" applyFont="1" applyAlignment="1">
      <alignment/>
    </xf>
    <xf numFmtId="41" fontId="1" fillId="0" borderId="0" xfId="42" applyNumberFormat="1" applyFont="1" applyAlignment="1">
      <alignment horizontal="center"/>
    </xf>
    <xf numFmtId="41" fontId="0" fillId="0" borderId="0" xfId="42" applyNumberFormat="1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ill="1" applyAlignment="1">
      <alignment/>
    </xf>
    <xf numFmtId="165" fontId="4" fillId="0" borderId="10" xfId="0" applyNumberFormat="1" applyFont="1" applyFill="1" applyBorder="1" applyAlignment="1">
      <alignment/>
    </xf>
    <xf numFmtId="3" fontId="4" fillId="0" borderId="0" xfId="0" applyNumberFormat="1" applyFont="1" applyBorder="1" applyAlignment="1" applyProtection="1">
      <alignment/>
      <protection/>
    </xf>
    <xf numFmtId="43" fontId="0" fillId="0" borderId="0" xfId="42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3" fontId="0" fillId="10" borderId="0" xfId="42" applyFont="1" applyFill="1" applyAlignment="1">
      <alignment/>
    </xf>
    <xf numFmtId="165" fontId="0" fillId="10" borderId="10" xfId="42" applyNumberFormat="1" applyFont="1" applyFill="1" applyBorder="1" applyAlignment="1">
      <alignment/>
    </xf>
    <xf numFmtId="3" fontId="0" fillId="10" borderId="10" xfId="0" applyNumberFormat="1" applyFill="1" applyBorder="1" applyAlignment="1">
      <alignment/>
    </xf>
    <xf numFmtId="3" fontId="0" fillId="10" borderId="0" xfId="0" applyNumberFormat="1" applyFill="1" applyAlignment="1">
      <alignment/>
    </xf>
    <xf numFmtId="41" fontId="0" fillId="10" borderId="0" xfId="42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43" fontId="0" fillId="0" borderId="0" xfId="42" applyNumberFormat="1" applyFont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41" fontId="0" fillId="0" borderId="0" xfId="0" applyNumberFormat="1" applyAlignment="1">
      <alignment/>
    </xf>
    <xf numFmtId="165" fontId="0" fillId="33" borderId="0" xfId="0" applyNumberFormat="1" applyFill="1" applyAlignment="1">
      <alignment/>
    </xf>
    <xf numFmtId="165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42" fillId="0" borderId="0" xfId="42" applyNumberFormat="1" applyFont="1" applyAlignment="1">
      <alignment/>
    </xf>
    <xf numFmtId="3" fontId="42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14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3"/>
  <sheetViews>
    <sheetView tabSelected="1" zoomScale="75" zoomScaleNormal="75" zoomScalePageLayoutView="0" workbookViewId="0" topLeftCell="A1">
      <pane ySplit="7" topLeftCell="A141" activePane="bottomLeft" state="frozen"/>
      <selection pane="topLeft" activeCell="A1" sqref="A1"/>
      <selection pane="bottomLeft" activeCell="F152" sqref="F152"/>
    </sheetView>
  </sheetViews>
  <sheetFormatPr defaultColWidth="9.140625" defaultRowHeight="12.75"/>
  <cols>
    <col min="1" max="1" width="12.00390625" style="0" customWidth="1"/>
    <col min="3" max="3" width="15.00390625" style="2" customWidth="1"/>
    <col min="4" max="4" width="9.421875" style="0" bestFit="1" customWidth="1"/>
    <col min="5" max="5" width="11.8515625" style="13" customWidth="1"/>
    <col min="6" max="6" width="13.7109375" style="2" customWidth="1"/>
    <col min="7" max="7" width="14.57421875" style="2" customWidth="1"/>
    <col min="8" max="8" width="15.140625" style="0" customWidth="1"/>
    <col min="9" max="9" width="11.421875" style="2" bestFit="1" customWidth="1"/>
    <col min="10" max="10" width="11.140625" style="2" customWidth="1"/>
    <col min="11" max="11" width="12.140625" style="0" customWidth="1"/>
    <col min="12" max="12" width="11.00390625" style="69" bestFit="1" customWidth="1"/>
    <col min="13" max="13" width="13.28125" style="0" customWidth="1"/>
    <col min="14" max="14" width="16.140625" style="0" customWidth="1"/>
    <col min="15" max="15" width="14.57421875" style="0" customWidth="1"/>
    <col min="16" max="16" width="19.140625" style="19" customWidth="1"/>
    <col min="17" max="17" width="11.421875" style="0" bestFit="1" customWidth="1"/>
    <col min="18" max="18" width="16.00390625" style="19" customWidth="1"/>
    <col min="19" max="19" width="11.28125" style="0" bestFit="1" customWidth="1"/>
    <col min="20" max="20" width="16.140625" style="19" bestFit="1" customWidth="1"/>
    <col min="21" max="21" width="14.00390625" style="0" bestFit="1" customWidth="1"/>
  </cols>
  <sheetData>
    <row r="1" ht="12.75">
      <c r="A1" t="s">
        <v>17</v>
      </c>
    </row>
    <row r="3" spans="1:18" ht="12.75">
      <c r="A3" t="s">
        <v>15</v>
      </c>
      <c r="F3" s="2" t="s">
        <v>54</v>
      </c>
      <c r="P3" s="21" t="s">
        <v>25</v>
      </c>
      <c r="R3" s="4" t="s">
        <v>25</v>
      </c>
    </row>
    <row r="4" spans="16:18" ht="15">
      <c r="P4" s="21" t="s">
        <v>26</v>
      </c>
      <c r="R4" s="20" t="s">
        <v>29</v>
      </c>
    </row>
    <row r="5" spans="1:18" ht="15">
      <c r="A5" s="4" t="s">
        <v>0</v>
      </c>
      <c r="C5" s="3" t="s">
        <v>2</v>
      </c>
      <c r="E5" s="26" t="s">
        <v>47</v>
      </c>
      <c r="F5" s="7" t="s">
        <v>3</v>
      </c>
      <c r="G5" s="7" t="s">
        <v>4</v>
      </c>
      <c r="H5" s="4" t="s">
        <v>5</v>
      </c>
      <c r="I5" s="7" t="s">
        <v>7</v>
      </c>
      <c r="J5" s="7" t="s">
        <v>9</v>
      </c>
      <c r="K5" s="7" t="s">
        <v>10</v>
      </c>
      <c r="M5" s="7" t="s">
        <v>23</v>
      </c>
      <c r="N5" s="7" t="s">
        <v>24</v>
      </c>
      <c r="P5" s="21" t="s">
        <v>27</v>
      </c>
      <c r="R5" s="20" t="s">
        <v>30</v>
      </c>
    </row>
    <row r="6" spans="1:11" ht="12.75">
      <c r="A6" s="4" t="s">
        <v>1</v>
      </c>
      <c r="E6" s="26" t="s">
        <v>48</v>
      </c>
      <c r="G6" s="7" t="s">
        <v>3</v>
      </c>
      <c r="H6" s="4" t="s">
        <v>6</v>
      </c>
      <c r="I6" s="7" t="s">
        <v>8</v>
      </c>
      <c r="J6" s="7" t="s">
        <v>7</v>
      </c>
      <c r="K6" s="7" t="s">
        <v>16</v>
      </c>
    </row>
    <row r="7" spans="1:11" ht="12.75">
      <c r="A7" s="4"/>
      <c r="E7" s="26" t="s">
        <v>49</v>
      </c>
      <c r="G7" s="7"/>
      <c r="H7" s="4"/>
      <c r="I7" s="7"/>
      <c r="J7" s="7" t="s">
        <v>8</v>
      </c>
      <c r="K7" s="4" t="s">
        <v>11</v>
      </c>
    </row>
    <row r="8" spans="1:9" ht="12.75">
      <c r="A8" s="4"/>
      <c r="G8" s="7"/>
      <c r="H8" s="4"/>
      <c r="I8" s="7"/>
    </row>
    <row r="10" spans="1:14" ht="12.75">
      <c r="A10" s="1">
        <v>38833</v>
      </c>
      <c r="B10" t="s">
        <v>12</v>
      </c>
      <c r="C10" s="2">
        <v>1350000</v>
      </c>
      <c r="D10" s="5">
        <v>0.03</v>
      </c>
      <c r="H10" s="2"/>
      <c r="I10" s="2">
        <v>89877</v>
      </c>
      <c r="K10" s="6">
        <f>SUM(C10:J10)</f>
        <v>1439877.03</v>
      </c>
      <c r="M10" s="6">
        <f>C10+F10+G10</f>
        <v>1350000</v>
      </c>
      <c r="N10" s="6">
        <f>M10</f>
        <v>1350000</v>
      </c>
    </row>
    <row r="11" spans="1:14" ht="12.75">
      <c r="A11" s="1">
        <v>38918</v>
      </c>
      <c r="B11" t="s">
        <v>13</v>
      </c>
      <c r="C11" s="2">
        <v>150000</v>
      </c>
      <c r="D11" s="5">
        <v>0.03</v>
      </c>
      <c r="I11" s="2">
        <v>9986</v>
      </c>
      <c r="K11" s="6">
        <f>SUM(C11:J11)</f>
        <v>159986.03</v>
      </c>
      <c r="M11" s="6">
        <f>C11+F11+G11</f>
        <v>150000</v>
      </c>
      <c r="N11" s="6">
        <f aca="true" t="shared" si="0" ref="N11:N17">N10+M11</f>
        <v>1500000</v>
      </c>
    </row>
    <row r="12" spans="14:19" ht="12.75">
      <c r="N12" s="6">
        <f t="shared" si="0"/>
        <v>1500000</v>
      </c>
      <c r="R12" s="19">
        <v>1500000</v>
      </c>
      <c r="S12" s="18"/>
    </row>
    <row r="13" spans="1:19" ht="12.75">
      <c r="A13" s="1">
        <v>39038</v>
      </c>
      <c r="B13" t="s">
        <v>14</v>
      </c>
      <c r="C13" s="2">
        <v>1947191</v>
      </c>
      <c r="F13" s="2">
        <v>-16462</v>
      </c>
      <c r="G13" s="2">
        <v>-123503</v>
      </c>
      <c r="H13" s="2">
        <v>-4922</v>
      </c>
      <c r="I13" s="2">
        <v>226848</v>
      </c>
      <c r="J13" s="2">
        <v>236</v>
      </c>
      <c r="K13" s="6">
        <f>SUM(C13:J13)</f>
        <v>2029388</v>
      </c>
      <c r="M13" s="6">
        <f>C13+F13+G13</f>
        <v>1807226</v>
      </c>
      <c r="N13" s="6">
        <f t="shared" si="0"/>
        <v>3307226</v>
      </c>
      <c r="Q13" s="6"/>
      <c r="R13" s="19">
        <f>R12+1626503+180723</f>
        <v>3307226</v>
      </c>
      <c r="S13" s="18"/>
    </row>
    <row r="14" spans="11:17" ht="12.75">
      <c r="K14" s="6"/>
      <c r="M14" s="6"/>
      <c r="N14" s="6">
        <f t="shared" si="0"/>
        <v>3307226</v>
      </c>
      <c r="Q14" s="18"/>
    </row>
    <row r="15" spans="1:19" ht="12.75">
      <c r="A15" s="1">
        <v>39100</v>
      </c>
      <c r="B15" t="s">
        <v>14</v>
      </c>
      <c r="C15" s="2">
        <v>2461331</v>
      </c>
      <c r="I15" s="2">
        <v>110959</v>
      </c>
      <c r="K15" s="6">
        <f>SUM(C15:J15)</f>
        <v>2572290</v>
      </c>
      <c r="M15" s="6">
        <f>C15+F15+G15</f>
        <v>2461331</v>
      </c>
      <c r="N15" s="6">
        <f t="shared" si="0"/>
        <v>5768557</v>
      </c>
      <c r="R15" s="19">
        <f>R13+2215198+246133</f>
        <v>5768557</v>
      </c>
      <c r="S15" s="18"/>
    </row>
    <row r="16" spans="13:14" ht="13.5" thickBot="1">
      <c r="M16" s="6"/>
      <c r="N16" s="6">
        <f t="shared" si="0"/>
        <v>5768557</v>
      </c>
    </row>
    <row r="17" spans="1:19" ht="13.5" thickBot="1">
      <c r="A17" t="s">
        <v>21</v>
      </c>
      <c r="C17" s="8">
        <f>SUM(C10:C16)</f>
        <v>5908522</v>
      </c>
      <c r="F17" s="14">
        <f>F13</f>
        <v>-16462</v>
      </c>
      <c r="G17" s="8">
        <f>G13</f>
        <v>-123503</v>
      </c>
      <c r="K17" s="9">
        <f>SUM(K10:K16)</f>
        <v>6201541.0600000005</v>
      </c>
      <c r="M17" s="11"/>
      <c r="N17" s="10">
        <f t="shared" si="0"/>
        <v>5768557</v>
      </c>
      <c r="O17" s="47">
        <v>39172</v>
      </c>
      <c r="P17" s="48">
        <v>5892316</v>
      </c>
      <c r="Q17" s="6"/>
      <c r="S17" s="18"/>
    </row>
    <row r="18" spans="3:17" ht="13.5" thickBot="1">
      <c r="C18" s="15"/>
      <c r="G18" s="15"/>
      <c r="K18" s="16"/>
      <c r="M18" s="11"/>
      <c r="N18" s="11"/>
      <c r="Q18" s="6"/>
    </row>
    <row r="19" spans="1:15" ht="13.5" thickBot="1">
      <c r="A19" t="s">
        <v>28</v>
      </c>
      <c r="N19" s="17">
        <f>N17+M19</f>
        <v>5768557</v>
      </c>
      <c r="O19" s="1">
        <v>39173</v>
      </c>
    </row>
    <row r="20" ht="12.75">
      <c r="N20" s="6">
        <f aca="true" t="shared" si="1" ref="N20:N85">N19+M20</f>
        <v>5768557</v>
      </c>
    </row>
    <row r="21" spans="1:19" ht="12.75">
      <c r="A21" s="1">
        <v>39191</v>
      </c>
      <c r="B21" t="s">
        <v>14</v>
      </c>
      <c r="C21" s="2">
        <v>1755591</v>
      </c>
      <c r="G21" s="2">
        <v>-214716</v>
      </c>
      <c r="I21" s="2">
        <v>112192</v>
      </c>
      <c r="K21" s="6">
        <f>SUM(C21:J21)</f>
        <v>1653067</v>
      </c>
      <c r="M21" s="6">
        <f>C21+F21+G21</f>
        <v>1540875</v>
      </c>
      <c r="N21" s="6">
        <f t="shared" si="1"/>
        <v>7309432</v>
      </c>
      <c r="R21" s="19">
        <f>R15+1386788+154087</f>
        <v>7309432</v>
      </c>
      <c r="S21" s="18"/>
    </row>
    <row r="22" spans="1:14" ht="12.75">
      <c r="A22" s="1"/>
      <c r="K22" s="6"/>
      <c r="M22" s="6"/>
      <c r="N22" s="6">
        <f t="shared" si="1"/>
        <v>7309432</v>
      </c>
    </row>
    <row r="23" spans="1:19" ht="12.75">
      <c r="A23" s="1">
        <v>39260</v>
      </c>
      <c r="B23" t="s">
        <v>14</v>
      </c>
      <c r="C23" s="2">
        <v>4750422</v>
      </c>
      <c r="K23" s="6"/>
      <c r="M23" s="6">
        <f>C23+F23+G23</f>
        <v>4750422</v>
      </c>
      <c r="N23" s="6">
        <f t="shared" si="1"/>
        <v>12059854</v>
      </c>
      <c r="R23" s="19">
        <v>12059854</v>
      </c>
      <c r="S23" s="18"/>
    </row>
    <row r="24" spans="11:14" ht="12.75">
      <c r="K24" s="6"/>
      <c r="M24" s="6"/>
      <c r="N24" s="6">
        <f t="shared" si="1"/>
        <v>12059854</v>
      </c>
    </row>
    <row r="25" spans="1:18" ht="12.75">
      <c r="A25" s="1">
        <v>39332</v>
      </c>
      <c r="B25" t="s">
        <v>14</v>
      </c>
      <c r="C25" s="2">
        <v>2682282</v>
      </c>
      <c r="F25" s="2">
        <v>-480578</v>
      </c>
      <c r="G25" s="2">
        <v>-84668</v>
      </c>
      <c r="I25" s="2">
        <v>113424</v>
      </c>
      <c r="K25" s="6">
        <f>SUM(C25:J25)</f>
        <v>2230460</v>
      </c>
      <c r="M25" s="6">
        <f>C25+F25+G25</f>
        <v>2117036</v>
      </c>
      <c r="N25" s="6">
        <f t="shared" si="1"/>
        <v>14176890</v>
      </c>
      <c r="O25" s="1">
        <v>39355</v>
      </c>
      <c r="P25" s="19">
        <v>14724363</v>
      </c>
      <c r="Q25" s="6"/>
      <c r="R25" s="19">
        <v>14176890</v>
      </c>
    </row>
    <row r="26" spans="11:14" ht="12.75">
      <c r="K26" s="6"/>
      <c r="M26" s="6"/>
      <c r="N26" s="6">
        <f t="shared" si="1"/>
        <v>14176890</v>
      </c>
    </row>
    <row r="27" spans="1:18" ht="12.75">
      <c r="A27" s="1">
        <v>39372</v>
      </c>
      <c r="B27" t="s">
        <v>14</v>
      </c>
      <c r="C27" s="2">
        <v>899912</v>
      </c>
      <c r="F27" s="2">
        <v>-32411</v>
      </c>
      <c r="G27" s="2">
        <v>-163853</v>
      </c>
      <c r="I27" s="2">
        <v>113424</v>
      </c>
      <c r="K27" s="6">
        <f>SUM(C27:J27)</f>
        <v>817072</v>
      </c>
      <c r="M27" s="6">
        <f>C27+F27+G27</f>
        <v>703648</v>
      </c>
      <c r="N27" s="6">
        <f t="shared" si="1"/>
        <v>14880538</v>
      </c>
      <c r="O27" s="1">
        <v>39447</v>
      </c>
      <c r="P27" s="19">
        <v>16010368</v>
      </c>
      <c r="Q27" s="6"/>
      <c r="R27" s="19">
        <v>14880538</v>
      </c>
    </row>
    <row r="28" spans="11:17" ht="12.75">
      <c r="K28" s="6"/>
      <c r="M28" s="6"/>
      <c r="N28" s="6">
        <f t="shared" si="1"/>
        <v>14880538</v>
      </c>
      <c r="Q28" s="6"/>
    </row>
    <row r="29" spans="1:18" ht="12.75">
      <c r="A29" s="1">
        <v>39465</v>
      </c>
      <c r="B29" t="s">
        <v>14</v>
      </c>
      <c r="C29" s="2">
        <v>3223401</v>
      </c>
      <c r="F29" s="2">
        <v>-562331</v>
      </c>
      <c r="G29" s="2">
        <v>-336811</v>
      </c>
      <c r="I29" s="2">
        <v>111886</v>
      </c>
      <c r="K29" s="6">
        <f>SUM(C29:J29)</f>
        <v>2436145</v>
      </c>
      <c r="M29" s="6">
        <f>C29+F29+G29</f>
        <v>2324259</v>
      </c>
      <c r="N29" s="6">
        <f t="shared" si="1"/>
        <v>17204797</v>
      </c>
      <c r="Q29" s="6"/>
      <c r="R29" s="19">
        <v>17204797</v>
      </c>
    </row>
    <row r="30" spans="1:17" ht="12.75">
      <c r="A30" s="1"/>
      <c r="K30" s="6"/>
      <c r="M30" s="6"/>
      <c r="N30" s="6">
        <f t="shared" si="1"/>
        <v>17204797</v>
      </c>
      <c r="Q30" s="6"/>
    </row>
    <row r="31" spans="1:18" ht="12.75">
      <c r="A31" s="1">
        <v>39527</v>
      </c>
      <c r="B31" t="s">
        <v>14</v>
      </c>
      <c r="C31" s="2">
        <v>2500000</v>
      </c>
      <c r="K31" s="6">
        <f>SUM(C31:J31)</f>
        <v>2500000</v>
      </c>
      <c r="M31" s="6">
        <f>C31+F31+G31</f>
        <v>2500000</v>
      </c>
      <c r="N31" s="6">
        <f t="shared" si="1"/>
        <v>19704797</v>
      </c>
      <c r="Q31" s="6"/>
      <c r="R31" s="19">
        <v>19704797</v>
      </c>
    </row>
    <row r="32" spans="1:17" ht="12.75">
      <c r="A32" s="1"/>
      <c r="K32" s="6"/>
      <c r="N32" s="6">
        <f t="shared" si="1"/>
        <v>19704797</v>
      </c>
      <c r="Q32" s="6"/>
    </row>
    <row r="33" spans="1:17" ht="12.75">
      <c r="A33" t="s">
        <v>34</v>
      </c>
      <c r="C33" s="8">
        <f>SUM(C21:C31)</f>
        <v>15811608</v>
      </c>
      <c r="F33" s="14">
        <f>F25+F27+F29</f>
        <v>-1075320</v>
      </c>
      <c r="G33" s="8">
        <f>+G27+G25+G21+G29</f>
        <v>-800048</v>
      </c>
      <c r="N33" s="6">
        <f t="shared" si="1"/>
        <v>19704797</v>
      </c>
      <c r="Q33" s="6"/>
    </row>
    <row r="34" spans="14:17" ht="13.5" thickBot="1">
      <c r="N34" s="6">
        <f t="shared" si="1"/>
        <v>19704797</v>
      </c>
      <c r="Q34" s="6"/>
    </row>
    <row r="35" spans="1:17" ht="13.5" thickBot="1">
      <c r="A35" t="s">
        <v>35</v>
      </c>
      <c r="C35" s="22">
        <f>C33+C17</f>
        <v>21720130</v>
      </c>
      <c r="G35" s="22">
        <f>G33+G17+F17+F33</f>
        <v>-2015333</v>
      </c>
      <c r="N35" s="10">
        <f t="shared" si="1"/>
        <v>19704797</v>
      </c>
      <c r="O35" s="47">
        <v>39538</v>
      </c>
      <c r="P35" s="48">
        <v>21039624</v>
      </c>
      <c r="Q35" s="6"/>
    </row>
    <row r="36" spans="14:17" ht="12.75">
      <c r="N36" s="31">
        <f t="shared" si="1"/>
        <v>19704797</v>
      </c>
      <c r="Q36" s="6"/>
    </row>
    <row r="37" spans="1:14" ht="12.75">
      <c r="A37" s="1">
        <v>39568</v>
      </c>
      <c r="B37" t="s">
        <v>14</v>
      </c>
      <c r="C37" s="2">
        <v>2463906</v>
      </c>
      <c r="F37" s="2">
        <v>-128471</v>
      </c>
      <c r="G37" s="2">
        <v>-115129</v>
      </c>
      <c r="I37" s="2">
        <v>111886</v>
      </c>
      <c r="K37" s="6">
        <f>SUM(C37:J37)</f>
        <v>2332192</v>
      </c>
      <c r="M37" s="6">
        <f>C37+F37+G37</f>
        <v>2220306</v>
      </c>
      <c r="N37" s="31">
        <f t="shared" si="1"/>
        <v>21925103</v>
      </c>
    </row>
    <row r="38" spans="8:14" ht="12.75">
      <c r="H38" s="2"/>
      <c r="K38" s="6"/>
      <c r="M38" s="6"/>
      <c r="N38" s="31">
        <f t="shared" si="1"/>
        <v>21925103</v>
      </c>
    </row>
    <row r="39" spans="1:14" ht="12.75">
      <c r="A39" s="1">
        <v>39652</v>
      </c>
      <c r="B39" t="s">
        <v>14</v>
      </c>
      <c r="C39" s="2">
        <v>1758164</v>
      </c>
      <c r="F39" s="2">
        <v>-48756</v>
      </c>
      <c r="G39" s="2">
        <v>-108723</v>
      </c>
      <c r="I39" s="2">
        <v>113114</v>
      </c>
      <c r="K39" s="6">
        <f>SUM(C39:J39)</f>
        <v>1713799</v>
      </c>
      <c r="M39" s="6">
        <f>C39+F39+G39</f>
        <v>1600685</v>
      </c>
      <c r="N39" s="31">
        <f t="shared" si="1"/>
        <v>23525788</v>
      </c>
    </row>
    <row r="40" spans="11:14" ht="12.75">
      <c r="K40" s="6"/>
      <c r="M40" s="6"/>
      <c r="N40" s="31">
        <f t="shared" si="1"/>
        <v>23525788</v>
      </c>
    </row>
    <row r="41" spans="1:14" ht="12.75">
      <c r="A41" s="1">
        <v>39722</v>
      </c>
      <c r="B41" t="s">
        <v>14</v>
      </c>
      <c r="C41" s="2">
        <v>2666537</v>
      </c>
      <c r="G41" s="2">
        <v>-166537</v>
      </c>
      <c r="I41" s="2">
        <v>113114</v>
      </c>
      <c r="K41" s="6">
        <f>SUM(C41:J41)</f>
        <v>2613114</v>
      </c>
      <c r="M41" s="6">
        <f>C41+F41+G41</f>
        <v>2500000</v>
      </c>
      <c r="N41" s="31">
        <f t="shared" si="1"/>
        <v>26025788</v>
      </c>
    </row>
    <row r="42" spans="1:14" ht="12.75">
      <c r="A42" s="1"/>
      <c r="K42" s="6"/>
      <c r="M42" s="6"/>
      <c r="N42" s="31">
        <f t="shared" si="1"/>
        <v>26025788</v>
      </c>
    </row>
    <row r="43" spans="1:14" ht="12.75">
      <c r="A43" s="1">
        <v>39854</v>
      </c>
      <c r="B43" t="s">
        <v>14</v>
      </c>
      <c r="C43" s="2">
        <v>3848117</v>
      </c>
      <c r="F43" s="2">
        <v>-446229</v>
      </c>
      <c r="G43" s="2">
        <v>-611014</v>
      </c>
      <c r="I43" s="2">
        <v>110959</v>
      </c>
      <c r="K43" s="6">
        <f>SUM(C43:J43)</f>
        <v>2901833</v>
      </c>
      <c r="M43" s="6">
        <f>C43+F43+G43</f>
        <v>2790874</v>
      </c>
      <c r="N43" s="31">
        <f t="shared" si="1"/>
        <v>28816662</v>
      </c>
    </row>
    <row r="44" spans="1:14" ht="12.75">
      <c r="A44" s="1"/>
      <c r="K44" s="6"/>
      <c r="M44" s="6"/>
      <c r="N44" s="31">
        <f t="shared" si="1"/>
        <v>28816662</v>
      </c>
    </row>
    <row r="45" spans="1:14" ht="12.75">
      <c r="A45" t="s">
        <v>36</v>
      </c>
      <c r="C45" s="14">
        <f>C37+C39+C41+C43</f>
        <v>10736724</v>
      </c>
      <c r="F45" s="14">
        <f>SUM(F37:F43)</f>
        <v>-623456</v>
      </c>
      <c r="G45" s="14">
        <f>G37+G39+G41+G43</f>
        <v>-1001403</v>
      </c>
      <c r="K45" s="6"/>
      <c r="M45" s="6"/>
      <c r="N45" s="31">
        <f t="shared" si="1"/>
        <v>28816662</v>
      </c>
    </row>
    <row r="46" spans="11:14" ht="12.75">
      <c r="K46" s="6"/>
      <c r="M46" s="6"/>
      <c r="N46" s="31">
        <f t="shared" si="1"/>
        <v>28816662</v>
      </c>
    </row>
    <row r="47" spans="1:18" ht="12.75">
      <c r="A47" t="s">
        <v>35</v>
      </c>
      <c r="C47" s="14">
        <f>C35+C45</f>
        <v>32456854</v>
      </c>
      <c r="G47" s="14">
        <f>G35+G45+F45</f>
        <v>-3640192</v>
      </c>
      <c r="K47" s="6"/>
      <c r="M47" s="6"/>
      <c r="N47" s="34">
        <f t="shared" si="1"/>
        <v>28816662</v>
      </c>
      <c r="O47" s="47">
        <v>39903</v>
      </c>
      <c r="P47" s="48">
        <v>24747968</v>
      </c>
      <c r="R47" s="19">
        <v>28816662</v>
      </c>
    </row>
    <row r="48" spans="11:14" ht="12.75">
      <c r="K48" s="6"/>
      <c r="M48" s="6"/>
      <c r="N48" s="31">
        <f t="shared" si="1"/>
        <v>28816662</v>
      </c>
    </row>
    <row r="49" spans="1:14" ht="12.75">
      <c r="A49" s="38" t="s">
        <v>37</v>
      </c>
      <c r="B49" s="38"/>
      <c r="C49" s="39"/>
      <c r="D49" s="38"/>
      <c r="E49" s="61"/>
      <c r="F49" s="39"/>
      <c r="G49" s="39"/>
      <c r="N49" s="31">
        <f t="shared" si="1"/>
        <v>28816662</v>
      </c>
    </row>
    <row r="50" spans="1:14" ht="12.75">
      <c r="A50" s="38" t="s">
        <v>38</v>
      </c>
      <c r="B50" s="38"/>
      <c r="C50" s="37">
        <f>C47</f>
        <v>32456854</v>
      </c>
      <c r="D50" s="38"/>
      <c r="E50" s="61"/>
      <c r="F50" s="39"/>
      <c r="G50" s="39"/>
      <c r="N50" s="31">
        <f t="shared" si="1"/>
        <v>28816662</v>
      </c>
    </row>
    <row r="51" spans="1:14" ht="12.75">
      <c r="A51" s="38" t="s">
        <v>39</v>
      </c>
      <c r="B51" s="38"/>
      <c r="C51" s="39"/>
      <c r="D51" s="38"/>
      <c r="E51" s="61"/>
      <c r="F51" s="39"/>
      <c r="G51" s="37">
        <f>G45+G33+G17</f>
        <v>-1924954</v>
      </c>
      <c r="N51" s="31">
        <f t="shared" si="1"/>
        <v>28816662</v>
      </c>
    </row>
    <row r="52" spans="2:14" ht="12.75">
      <c r="B52" s="35"/>
      <c r="C52" s="36"/>
      <c r="D52" s="35"/>
      <c r="E52" s="62"/>
      <c r="F52" s="36"/>
      <c r="G52" s="36"/>
      <c r="N52" s="31">
        <f t="shared" si="1"/>
        <v>28816662</v>
      </c>
    </row>
    <row r="53" spans="1:15" ht="12.75">
      <c r="A53" s="38" t="s">
        <v>40</v>
      </c>
      <c r="G53" s="14">
        <f>C50+G51</f>
        <v>30531900</v>
      </c>
      <c r="N53" s="31">
        <f t="shared" si="1"/>
        <v>28816662</v>
      </c>
      <c r="O53" s="6"/>
    </row>
    <row r="54" spans="14:15" ht="12.75">
      <c r="N54" s="31">
        <f t="shared" si="1"/>
        <v>28816662</v>
      </c>
      <c r="O54" s="6"/>
    </row>
    <row r="55" ht="12.75">
      <c r="N55" s="31">
        <f t="shared" si="1"/>
        <v>28816662</v>
      </c>
    </row>
    <row r="56" spans="1:14" ht="12.75">
      <c r="A56" s="1">
        <v>40010</v>
      </c>
      <c r="B56" t="s">
        <v>14</v>
      </c>
      <c r="C56" s="2">
        <v>3025014</v>
      </c>
      <c r="G56" s="2">
        <v>-309012</v>
      </c>
      <c r="I56" s="2">
        <v>225616</v>
      </c>
      <c r="K56" s="6">
        <f>SUM(C56:J56)</f>
        <v>2941618</v>
      </c>
      <c r="M56" s="6">
        <f>C56+F56+G56</f>
        <v>2716002</v>
      </c>
      <c r="N56" s="31">
        <f t="shared" si="1"/>
        <v>31532664</v>
      </c>
    </row>
    <row r="57" spans="11:14" ht="12.75">
      <c r="K57" s="6"/>
      <c r="M57" s="6"/>
      <c r="N57" s="31">
        <f t="shared" si="1"/>
        <v>31532664</v>
      </c>
    </row>
    <row r="58" spans="1:18" ht="12.75">
      <c r="A58" s="1">
        <v>40227</v>
      </c>
      <c r="B58" t="s">
        <v>14</v>
      </c>
      <c r="C58" s="2">
        <v>3299362</v>
      </c>
      <c r="F58" s="2">
        <v>-1353589</v>
      </c>
      <c r="G58" s="2">
        <v>-773658</v>
      </c>
      <c r="I58" s="2">
        <v>224383</v>
      </c>
      <c r="K58" s="6">
        <f>SUM(C58:J58)</f>
        <v>1396498</v>
      </c>
      <c r="M58" s="6">
        <f>C58+F58+G58</f>
        <v>1172115</v>
      </c>
      <c r="N58" s="31">
        <f t="shared" si="1"/>
        <v>32704779</v>
      </c>
      <c r="R58" s="19">
        <v>32704779</v>
      </c>
    </row>
    <row r="59" spans="11:14" ht="12.75">
      <c r="K59" s="6"/>
      <c r="M59" s="6"/>
      <c r="N59" s="31">
        <f t="shared" si="1"/>
        <v>32704779</v>
      </c>
    </row>
    <row r="60" spans="1:14" ht="12.75">
      <c r="A60" t="s">
        <v>41</v>
      </c>
      <c r="C60" s="14">
        <f>C50+C56+C58</f>
        <v>38781230</v>
      </c>
      <c r="F60" s="14">
        <f>SUM(F58:F59)</f>
        <v>-1353589</v>
      </c>
      <c r="G60" s="14">
        <f>SUM(G56:G59)</f>
        <v>-1082670</v>
      </c>
      <c r="K60" s="6"/>
      <c r="M60" s="6"/>
      <c r="N60" s="31">
        <f t="shared" si="1"/>
        <v>32704779</v>
      </c>
    </row>
    <row r="61" spans="3:14" ht="12.75">
      <c r="C61" s="46"/>
      <c r="F61" s="46"/>
      <c r="G61" s="46"/>
      <c r="K61" s="6"/>
      <c r="M61" s="6"/>
      <c r="N61" s="31">
        <f t="shared" si="1"/>
        <v>32704779</v>
      </c>
    </row>
    <row r="62" spans="7:14" ht="12.75">
      <c r="G62" s="14">
        <f>F60+G60+G47</f>
        <v>-6076451</v>
      </c>
      <c r="N62" s="31">
        <f>N59+M62</f>
        <v>32704779</v>
      </c>
    </row>
    <row r="63" spans="1:14" ht="12.75">
      <c r="A63" s="38" t="s">
        <v>37</v>
      </c>
      <c r="N63" s="31">
        <f t="shared" si="1"/>
        <v>32704779</v>
      </c>
    </row>
    <row r="64" spans="1:14" ht="12.75">
      <c r="A64" s="38" t="s">
        <v>38</v>
      </c>
      <c r="C64" s="14">
        <f>C50+C56+C58</f>
        <v>38781230</v>
      </c>
      <c r="N64" s="31">
        <f t="shared" si="1"/>
        <v>32704779</v>
      </c>
    </row>
    <row r="65" spans="1:14" ht="12.75">
      <c r="A65" s="38" t="s">
        <v>39</v>
      </c>
      <c r="G65" s="14">
        <f>G51+G56+G58</f>
        <v>-3007624</v>
      </c>
      <c r="N65" s="52">
        <f t="shared" si="1"/>
        <v>32704779</v>
      </c>
    </row>
    <row r="66" ht="12.75">
      <c r="N66" s="31">
        <f t="shared" si="1"/>
        <v>32704779</v>
      </c>
    </row>
    <row r="67" spans="1:18" ht="12.75">
      <c r="A67" s="38" t="s">
        <v>40</v>
      </c>
      <c r="G67" s="14">
        <f>C64+G65</f>
        <v>35773606</v>
      </c>
      <c r="N67" s="31">
        <f t="shared" si="1"/>
        <v>32704779</v>
      </c>
      <c r="O67" s="47">
        <v>40268</v>
      </c>
      <c r="P67" s="48">
        <v>37751986</v>
      </c>
      <c r="R67" s="19">
        <f>38781230-3068827-3007624</f>
        <v>32704779</v>
      </c>
    </row>
    <row r="68" spans="1:16" ht="12.75">
      <c r="A68" s="38"/>
      <c r="G68" s="46"/>
      <c r="N68" s="31">
        <f t="shared" si="1"/>
        <v>32704779</v>
      </c>
      <c r="O68" s="51">
        <v>40359</v>
      </c>
      <c r="P68" s="60">
        <v>38096689</v>
      </c>
    </row>
    <row r="69" spans="8:16" ht="12.75">
      <c r="H69" s="6"/>
      <c r="N69" s="31">
        <f>N67+M69</f>
        <v>32704779</v>
      </c>
      <c r="O69" s="1">
        <v>40451</v>
      </c>
      <c r="P69" s="19">
        <v>42244404</v>
      </c>
    </row>
    <row r="70" spans="1:14" ht="12.75">
      <c r="A70" s="1">
        <v>40480</v>
      </c>
      <c r="C70" s="2">
        <v>3294528</v>
      </c>
      <c r="F70" s="2">
        <v>-7035940</v>
      </c>
      <c r="G70" s="2">
        <v>-677564</v>
      </c>
      <c r="H70" s="2">
        <v>-110</v>
      </c>
      <c r="I70" s="2">
        <v>339040</v>
      </c>
      <c r="K70" s="6">
        <f>SUM(C70:J70)</f>
        <v>-4080046</v>
      </c>
      <c r="M70" s="6">
        <f>C70+F70+G70</f>
        <v>-4418976</v>
      </c>
      <c r="N70" s="31">
        <f>N69+M70</f>
        <v>28285803</v>
      </c>
    </row>
    <row r="71" ht="12.75">
      <c r="N71" s="31">
        <f t="shared" si="1"/>
        <v>28285803</v>
      </c>
    </row>
    <row r="72" spans="1:16" ht="12.75">
      <c r="A72" t="s">
        <v>42</v>
      </c>
      <c r="C72" s="14">
        <f>C60+C70</f>
        <v>42075758</v>
      </c>
      <c r="F72" s="14">
        <f>SUM(F70:F71)</f>
        <v>-7035940</v>
      </c>
      <c r="G72" s="14">
        <f>SUM(G70:G71)</f>
        <v>-677564</v>
      </c>
      <c r="N72" s="31">
        <f t="shared" si="1"/>
        <v>28285803</v>
      </c>
      <c r="O72" s="1">
        <v>40543</v>
      </c>
      <c r="P72" s="19">
        <v>39272475</v>
      </c>
    </row>
    <row r="73" ht="12.75">
      <c r="N73" s="31">
        <f t="shared" si="1"/>
        <v>28285803</v>
      </c>
    </row>
    <row r="74" spans="7:14" ht="12.75">
      <c r="G74" s="14">
        <f>F72+G72+G62</f>
        <v>-13789955</v>
      </c>
      <c r="N74" s="31">
        <f t="shared" si="1"/>
        <v>28285803</v>
      </c>
    </row>
    <row r="75" spans="1:14" ht="12.75">
      <c r="A75" s="38" t="s">
        <v>37</v>
      </c>
      <c r="N75" s="31">
        <f t="shared" si="1"/>
        <v>28285803</v>
      </c>
    </row>
    <row r="76" spans="1:14" ht="12.75">
      <c r="A76" s="38" t="s">
        <v>38</v>
      </c>
      <c r="C76" s="14">
        <f>C72</f>
        <v>42075758</v>
      </c>
      <c r="N76" s="31">
        <f t="shared" si="1"/>
        <v>28285803</v>
      </c>
    </row>
    <row r="77" spans="1:14" ht="12.75">
      <c r="A77" s="38" t="s">
        <v>39</v>
      </c>
      <c r="G77" s="14">
        <f>G65+G72</f>
        <v>-3685188</v>
      </c>
      <c r="N77" s="31">
        <f t="shared" si="1"/>
        <v>28285803</v>
      </c>
    </row>
    <row r="78" ht="12.75">
      <c r="N78" s="31">
        <f t="shared" si="1"/>
        <v>28285803</v>
      </c>
    </row>
    <row r="79" spans="1:16" ht="12.75">
      <c r="A79" s="38" t="s">
        <v>40</v>
      </c>
      <c r="G79" s="14">
        <f>C76+G77</f>
        <v>38390570</v>
      </c>
      <c r="N79" s="34">
        <f t="shared" si="1"/>
        <v>28285803</v>
      </c>
      <c r="O79" s="47">
        <v>40633</v>
      </c>
      <c r="P79" s="19">
        <v>39272475</v>
      </c>
    </row>
    <row r="80" spans="1:16" ht="12.75">
      <c r="A80" s="38"/>
      <c r="G80" s="46"/>
      <c r="N80" s="31">
        <f>N78+M80</f>
        <v>28285803</v>
      </c>
      <c r="O80" s="51">
        <v>40816</v>
      </c>
      <c r="P80" s="19">
        <v>43062398</v>
      </c>
    </row>
    <row r="81" spans="7:18" ht="12.75">
      <c r="G81" s="46"/>
      <c r="N81" s="31">
        <f>N79+M81</f>
        <v>28285803</v>
      </c>
      <c r="O81" s="1">
        <v>40908</v>
      </c>
      <c r="P81" s="19">
        <v>43932806</v>
      </c>
      <c r="R81" s="19">
        <f>N72+I10+I11+I13+H13+I15+I21+I25+I27+I29+I37+I39+I41+I43+I56+I58+I70+H70+J13</f>
        <v>30407715</v>
      </c>
    </row>
    <row r="82" spans="14:15" ht="12.75">
      <c r="N82" s="31">
        <f t="shared" si="1"/>
        <v>28285803</v>
      </c>
      <c r="O82" s="6"/>
    </row>
    <row r="83" spans="1:14" ht="12.75">
      <c r="A83" s="51">
        <v>40962</v>
      </c>
      <c r="C83" s="2">
        <v>6876949</v>
      </c>
      <c r="F83" s="2">
        <v>-7112606</v>
      </c>
      <c r="G83" s="46">
        <v>-1851827</v>
      </c>
      <c r="I83" s="2">
        <v>477667</v>
      </c>
      <c r="K83" s="6">
        <f>SUM(C83:J83)</f>
        <v>-1609817</v>
      </c>
      <c r="M83" s="6">
        <f>C83+F83+G83</f>
        <v>-2087484</v>
      </c>
      <c r="N83" s="31">
        <f t="shared" si="1"/>
        <v>26198319</v>
      </c>
    </row>
    <row r="84" ht="12.75">
      <c r="N84" s="31">
        <f t="shared" si="1"/>
        <v>26198319</v>
      </c>
    </row>
    <row r="85" spans="1:14" ht="12.75">
      <c r="A85" s="56" t="s">
        <v>45</v>
      </c>
      <c r="C85" s="14">
        <f>C72+C83</f>
        <v>48952707</v>
      </c>
      <c r="F85" s="14">
        <f>SUM(F83:F84)</f>
        <v>-7112606</v>
      </c>
      <c r="G85" s="14">
        <f>SUM(G83:G84)</f>
        <v>-1851827</v>
      </c>
      <c r="N85" s="31">
        <f t="shared" si="1"/>
        <v>26198319</v>
      </c>
    </row>
    <row r="86" ht="12.75">
      <c r="N86" s="31">
        <f aca="true" t="shared" si="2" ref="N86:N138">N85+M86</f>
        <v>26198319</v>
      </c>
    </row>
    <row r="87" spans="7:14" ht="12.75">
      <c r="G87" s="14">
        <f>F85+G85+G74</f>
        <v>-22754388</v>
      </c>
      <c r="N87" s="31">
        <f t="shared" si="2"/>
        <v>26198319</v>
      </c>
    </row>
    <row r="88" spans="1:14" ht="12.75">
      <c r="A88" s="38" t="s">
        <v>37</v>
      </c>
      <c r="N88" s="31">
        <f t="shared" si="2"/>
        <v>26198319</v>
      </c>
    </row>
    <row r="89" spans="1:14" ht="12.75">
      <c r="A89" s="38" t="s">
        <v>38</v>
      </c>
      <c r="C89" s="14">
        <f>C85</f>
        <v>48952707</v>
      </c>
      <c r="N89" s="31">
        <f t="shared" si="2"/>
        <v>26198319</v>
      </c>
    </row>
    <row r="90" spans="1:14" ht="12.75">
      <c r="A90" s="38" t="s">
        <v>39</v>
      </c>
      <c r="G90" s="14">
        <f>G77+G85</f>
        <v>-5537015</v>
      </c>
      <c r="N90" s="31">
        <f t="shared" si="2"/>
        <v>26198319</v>
      </c>
    </row>
    <row r="91" spans="14:16" ht="12.75">
      <c r="N91" s="34">
        <f t="shared" si="2"/>
        <v>26198319</v>
      </c>
      <c r="O91" s="47">
        <v>40999</v>
      </c>
      <c r="P91" s="19">
        <v>40311054</v>
      </c>
    </row>
    <row r="92" spans="1:14" ht="12.75">
      <c r="A92" s="38" t="s">
        <v>40</v>
      </c>
      <c r="G92" s="14">
        <f>C89+G90</f>
        <v>43415692</v>
      </c>
      <c r="N92" s="31">
        <f t="shared" si="2"/>
        <v>26198319</v>
      </c>
    </row>
    <row r="93" ht="12.75">
      <c r="N93" s="31">
        <f t="shared" si="2"/>
        <v>26198319</v>
      </c>
    </row>
    <row r="94" ht="12.75">
      <c r="N94" s="31">
        <f t="shared" si="2"/>
        <v>26198319</v>
      </c>
    </row>
    <row r="95" spans="1:21" ht="12.75">
      <c r="A95" s="1">
        <v>41044</v>
      </c>
      <c r="C95" s="2">
        <v>834746</v>
      </c>
      <c r="F95" s="2">
        <v>-1540112</v>
      </c>
      <c r="G95" s="2">
        <v>-141448</v>
      </c>
      <c r="I95" s="2">
        <v>83538</v>
      </c>
      <c r="K95" s="6">
        <f>SUM(C95:J95)</f>
        <v>-763276</v>
      </c>
      <c r="M95" s="6">
        <f>C95+F95+G95</f>
        <v>-846814</v>
      </c>
      <c r="N95" s="31">
        <f t="shared" si="2"/>
        <v>25351505</v>
      </c>
      <c r="U95" s="18"/>
    </row>
    <row r="96" spans="14:16" ht="12.75">
      <c r="N96" s="31">
        <f t="shared" si="2"/>
        <v>25351505</v>
      </c>
      <c r="O96" s="1">
        <v>41090</v>
      </c>
      <c r="P96" s="19">
        <v>42650611</v>
      </c>
    </row>
    <row r="97" spans="1:14" ht="12.75">
      <c r="A97" s="1">
        <v>41117</v>
      </c>
      <c r="C97" s="2">
        <v>1631328</v>
      </c>
      <c r="F97" s="2">
        <v>-2414916</v>
      </c>
      <c r="G97" s="2">
        <v>-16754</v>
      </c>
      <c r="I97" s="2">
        <v>80166</v>
      </c>
      <c r="K97" s="6">
        <f>SUM(C97:J97)</f>
        <v>-720176</v>
      </c>
      <c r="M97" s="6">
        <f>C97+F97+G97</f>
        <v>-800342</v>
      </c>
      <c r="N97" s="31">
        <f t="shared" si="2"/>
        <v>24551163</v>
      </c>
    </row>
    <row r="98" spans="13:14" ht="12.75">
      <c r="M98" s="6"/>
      <c r="N98" s="31">
        <f t="shared" si="2"/>
        <v>24551163</v>
      </c>
    </row>
    <row r="99" spans="1:14" ht="12.75">
      <c r="A99" s="1">
        <v>41150</v>
      </c>
      <c r="C99" s="2">
        <v>139433</v>
      </c>
      <c r="F99" s="2">
        <v>-1377702</v>
      </c>
      <c r="G99" s="2">
        <v>-62366</v>
      </c>
      <c r="K99" s="6">
        <f>SUM(C99:J99)</f>
        <v>-1300635</v>
      </c>
      <c r="M99" s="6">
        <f>C99+F99+G99</f>
        <v>-1300635</v>
      </c>
      <c r="N99" s="31">
        <f t="shared" si="2"/>
        <v>23250528</v>
      </c>
    </row>
    <row r="100" spans="13:18" ht="12.75">
      <c r="M100" s="6"/>
      <c r="N100" s="31">
        <f t="shared" si="2"/>
        <v>23250528</v>
      </c>
      <c r="O100" s="1">
        <v>41182</v>
      </c>
      <c r="P100" s="19">
        <v>40357320</v>
      </c>
      <c r="R100" s="19">
        <f>N100+I97+I95+I83+I70+I58+I56+I43+I41+I39+I37+I29+I27+I25+I21+I15+I13+I11+I10+H13+H70+J13</f>
        <v>26013811</v>
      </c>
    </row>
    <row r="101" spans="1:14" ht="12.75">
      <c r="A101" s="1">
        <v>41233</v>
      </c>
      <c r="E101" s="13">
        <v>-402669</v>
      </c>
      <c r="F101" s="2">
        <v>-1905860</v>
      </c>
      <c r="G101" s="2">
        <v>-77649</v>
      </c>
      <c r="I101" s="2">
        <v>77410</v>
      </c>
      <c r="K101" s="6">
        <f>SUM(C101:J101)</f>
        <v>-2308768</v>
      </c>
      <c r="M101" s="6">
        <f>C101+F101+G101+E101</f>
        <v>-2386178</v>
      </c>
      <c r="N101" s="31">
        <f t="shared" si="2"/>
        <v>20864350</v>
      </c>
    </row>
    <row r="102" spans="13:18" ht="12.75">
      <c r="M102" s="6"/>
      <c r="N102" s="31">
        <f t="shared" si="2"/>
        <v>20864350</v>
      </c>
      <c r="O102" s="1">
        <v>41274</v>
      </c>
      <c r="P102" s="19">
        <v>39247359</v>
      </c>
      <c r="R102" s="19">
        <f>N102+I101+I97+I95+I83+I70+H70+I58+I56+I43+I41+I39+I37+I29+I27+I25+I21+I15+I13+H13+I11+I10+J13</f>
        <v>23705043</v>
      </c>
    </row>
    <row r="103" spans="1:14" ht="12.75">
      <c r="A103" s="1">
        <v>41311</v>
      </c>
      <c r="C103" s="2">
        <v>516362</v>
      </c>
      <c r="F103" s="2">
        <v>-2151003</v>
      </c>
      <c r="G103" s="2">
        <v>-201619</v>
      </c>
      <c r="I103" s="2">
        <v>69943</v>
      </c>
      <c r="K103" s="6">
        <f>SUM(C103:J103)</f>
        <v>-1766317</v>
      </c>
      <c r="M103" s="6">
        <f>C103+F103+G103+E103</f>
        <v>-1836260</v>
      </c>
      <c r="N103" s="31">
        <f t="shared" si="2"/>
        <v>19028090</v>
      </c>
    </row>
    <row r="104" spans="1:14" ht="12.75">
      <c r="A104" s="1"/>
      <c r="K104" s="6"/>
      <c r="M104" s="6"/>
      <c r="N104" s="31">
        <f t="shared" si="2"/>
        <v>19028090</v>
      </c>
    </row>
    <row r="105" spans="1:14" ht="12.75">
      <c r="A105" s="56" t="s">
        <v>50</v>
      </c>
      <c r="C105" s="14">
        <f>SUM(C95:C103)</f>
        <v>3121869</v>
      </c>
      <c r="E105" s="14">
        <f>SUM(E95:E103)</f>
        <v>-402669</v>
      </c>
      <c r="F105" s="14">
        <f>SUM(F95:F103)</f>
        <v>-9389593</v>
      </c>
      <c r="G105" s="14">
        <f>SUM(G95:G103)</f>
        <v>-499836</v>
      </c>
      <c r="K105" s="6"/>
      <c r="M105" s="6"/>
      <c r="N105" s="31">
        <f t="shared" si="2"/>
        <v>19028090</v>
      </c>
    </row>
    <row r="106" spans="1:14" ht="12.75">
      <c r="A106" s="56"/>
      <c r="C106" s="46"/>
      <c r="E106" s="46"/>
      <c r="F106" s="46"/>
      <c r="G106" s="46"/>
      <c r="K106" s="6"/>
      <c r="M106" s="6"/>
      <c r="N106" s="31">
        <f t="shared" si="2"/>
        <v>19028090</v>
      </c>
    </row>
    <row r="107" spans="7:18" ht="12.75">
      <c r="G107" s="14">
        <f>G87+E105+F105+G105</f>
        <v>-33046486</v>
      </c>
      <c r="N107" s="31">
        <f t="shared" si="2"/>
        <v>19028090</v>
      </c>
      <c r="R107" s="19">
        <f>R102+M103+I103</f>
        <v>21938726</v>
      </c>
    </row>
    <row r="108" spans="1:14" ht="12.75">
      <c r="A108" s="38" t="s">
        <v>37</v>
      </c>
      <c r="E108" s="40"/>
      <c r="F108" s="46"/>
      <c r="G108" s="46"/>
      <c r="N108" s="31">
        <f t="shared" si="2"/>
        <v>19028090</v>
      </c>
    </row>
    <row r="109" spans="1:14" ht="12.75">
      <c r="A109" s="38" t="s">
        <v>38</v>
      </c>
      <c r="C109" s="14">
        <f>C105+C89</f>
        <v>52074576</v>
      </c>
      <c r="E109" s="40"/>
      <c r="F109" s="46"/>
      <c r="G109" s="46"/>
      <c r="N109" s="31">
        <f>N108+M109</f>
        <v>19028090</v>
      </c>
    </row>
    <row r="110" spans="1:14" ht="12.75">
      <c r="A110" s="38" t="s">
        <v>39</v>
      </c>
      <c r="E110" s="40"/>
      <c r="F110" s="46"/>
      <c r="G110" s="14">
        <f>G90+G105+E105</f>
        <v>-6439520</v>
      </c>
      <c r="N110" s="31">
        <f t="shared" si="2"/>
        <v>19028090</v>
      </c>
    </row>
    <row r="111" ht="12.75">
      <c r="N111" s="31">
        <f t="shared" si="2"/>
        <v>19028090</v>
      </c>
    </row>
    <row r="112" spans="1:16" ht="12.75">
      <c r="A112" s="38" t="s">
        <v>40</v>
      </c>
      <c r="G112" s="14">
        <f>C109+G110</f>
        <v>45635056</v>
      </c>
      <c r="N112" s="34">
        <f t="shared" si="2"/>
        <v>19028090</v>
      </c>
      <c r="O112" s="47">
        <v>41364</v>
      </c>
      <c r="P112" s="19">
        <v>36134881.4</v>
      </c>
    </row>
    <row r="113" ht="12.75">
      <c r="N113" s="31">
        <f t="shared" si="2"/>
        <v>19028090</v>
      </c>
    </row>
    <row r="114" spans="1:18" ht="12.75">
      <c r="A114" s="1">
        <v>41428</v>
      </c>
      <c r="C114" s="2">
        <v>722890</v>
      </c>
      <c r="F114" s="2">
        <v>-2523242</v>
      </c>
      <c r="G114" s="46">
        <v>-334201</v>
      </c>
      <c r="I114" s="2">
        <v>67323</v>
      </c>
      <c r="K114" s="6">
        <f>SUM(C114:J114)</f>
        <v>-2067230</v>
      </c>
      <c r="M114" s="6">
        <f>C114+F114+G114+E114</f>
        <v>-2134553</v>
      </c>
      <c r="N114" s="31">
        <f t="shared" si="2"/>
        <v>16893537</v>
      </c>
      <c r="O114" s="1">
        <v>41455</v>
      </c>
      <c r="P114" s="19">
        <v>37563538</v>
      </c>
      <c r="R114" s="60">
        <f>R107+M114+I114</f>
        <v>19871496</v>
      </c>
    </row>
    <row r="115" spans="11:14" ht="12.75">
      <c r="K115" s="6"/>
      <c r="M115" s="6"/>
      <c r="N115" s="31">
        <f t="shared" si="2"/>
        <v>16893537</v>
      </c>
    </row>
    <row r="116" spans="1:18" ht="12.75">
      <c r="A116" s="1">
        <v>41506</v>
      </c>
      <c r="C116" s="2">
        <v>141997</v>
      </c>
      <c r="F116" s="2">
        <v>-2529755</v>
      </c>
      <c r="G116" s="2">
        <v>21860</v>
      </c>
      <c r="I116" s="2">
        <v>65224</v>
      </c>
      <c r="K116" s="6">
        <f>SUM(C116:J116)</f>
        <v>-2300674</v>
      </c>
      <c r="M116" s="6">
        <f>C116+F116+G116+E116</f>
        <v>-2365898</v>
      </c>
      <c r="N116" s="31">
        <f t="shared" si="2"/>
        <v>14527639</v>
      </c>
      <c r="O116" s="1">
        <v>41547</v>
      </c>
      <c r="P116" s="19">
        <v>36362115</v>
      </c>
      <c r="R116" s="60">
        <f>R114+M116+I116</f>
        <v>17570822</v>
      </c>
    </row>
    <row r="117" spans="11:14" ht="12.75">
      <c r="K117" s="6"/>
      <c r="M117" s="6"/>
      <c r="N117" s="31">
        <f t="shared" si="2"/>
        <v>14527639</v>
      </c>
    </row>
    <row r="118" spans="1:18" ht="12.75">
      <c r="A118" s="1">
        <v>41598</v>
      </c>
      <c r="C118" s="2">
        <v>324010</v>
      </c>
      <c r="F118" s="2">
        <v>-1665197</v>
      </c>
      <c r="G118" s="2">
        <v>-66322</v>
      </c>
      <c r="I118" s="2">
        <v>62942</v>
      </c>
      <c r="K118" s="6">
        <f>SUM(C118:J118)</f>
        <v>-1344567</v>
      </c>
      <c r="M118" s="6">
        <f>C118+F118+G118+E118</f>
        <v>-1407509</v>
      </c>
      <c r="N118" s="31">
        <f t="shared" si="2"/>
        <v>13120130</v>
      </c>
      <c r="O118" s="1">
        <v>41639</v>
      </c>
      <c r="P118" s="19">
        <v>39192202</v>
      </c>
      <c r="R118" s="60">
        <f>R116+M118+I118</f>
        <v>16226255</v>
      </c>
    </row>
    <row r="119" spans="11:14" ht="12.75">
      <c r="K119" s="6"/>
      <c r="M119" s="6"/>
      <c r="N119" s="31">
        <f t="shared" si="2"/>
        <v>13120130</v>
      </c>
    </row>
    <row r="120" spans="1:18" ht="12.75">
      <c r="A120" s="1">
        <v>41662</v>
      </c>
      <c r="C120" s="2">
        <v>87780</v>
      </c>
      <c r="F120" s="2">
        <v>-1305746</v>
      </c>
      <c r="G120" s="2">
        <v>-44183</v>
      </c>
      <c r="K120" s="6">
        <f>SUM(C120:J120)</f>
        <v>-1262149</v>
      </c>
      <c r="M120" s="6">
        <f>C120+F120+G120+E120</f>
        <v>-1262149</v>
      </c>
      <c r="N120" s="31">
        <f t="shared" si="2"/>
        <v>11857981</v>
      </c>
      <c r="R120" s="60">
        <f>R118+M120+I120</f>
        <v>14964106</v>
      </c>
    </row>
    <row r="121" spans="11:14" ht="12.75">
      <c r="K121" s="6"/>
      <c r="M121" s="6"/>
      <c r="N121" s="31">
        <f t="shared" si="2"/>
        <v>11857981</v>
      </c>
    </row>
    <row r="122" spans="1:18" ht="12.75">
      <c r="A122" s="1">
        <v>41695</v>
      </c>
      <c r="C122" s="2">
        <v>77452</v>
      </c>
      <c r="F122" s="2">
        <v>-745993</v>
      </c>
      <c r="I122" s="2">
        <v>58383</v>
      </c>
      <c r="K122" s="6">
        <f>SUM(C122:J122)</f>
        <v>-610158</v>
      </c>
      <c r="M122" s="6">
        <f>C122+F122+G122+E122</f>
        <v>-668541</v>
      </c>
      <c r="N122" s="34">
        <f t="shared" si="2"/>
        <v>11189440</v>
      </c>
      <c r="O122" s="47">
        <v>41729</v>
      </c>
      <c r="R122" s="60">
        <f>R120+M122+I122</f>
        <v>14353948</v>
      </c>
    </row>
    <row r="123" ht="12.75">
      <c r="N123" s="31">
        <f t="shared" si="2"/>
        <v>11189440</v>
      </c>
    </row>
    <row r="124" spans="1:14" ht="12.75">
      <c r="A124" s="56" t="s">
        <v>51</v>
      </c>
      <c r="C124" s="14">
        <f>SUM(C114:C122)</f>
        <v>1354129</v>
      </c>
      <c r="E124" s="14">
        <f>SUM(E114:E122)</f>
        <v>0</v>
      </c>
      <c r="F124" s="14">
        <f>SUM(F114:F122)</f>
        <v>-8769933</v>
      </c>
      <c r="G124" s="14">
        <f>SUM(G114:G122)</f>
        <v>-422846</v>
      </c>
      <c r="N124" s="31">
        <f t="shared" si="2"/>
        <v>11189440</v>
      </c>
    </row>
    <row r="125" spans="1:14" ht="12.75">
      <c r="A125" s="56"/>
      <c r="C125" s="46"/>
      <c r="E125" s="46"/>
      <c r="F125" s="46"/>
      <c r="G125" s="46"/>
      <c r="N125" s="31">
        <f t="shared" si="2"/>
        <v>11189440</v>
      </c>
    </row>
    <row r="126" spans="7:14" ht="12.75">
      <c r="G126" s="14">
        <f>G107+E124+F124+G124</f>
        <v>-42239265</v>
      </c>
      <c r="N126" s="31">
        <f t="shared" si="2"/>
        <v>11189440</v>
      </c>
    </row>
    <row r="127" spans="1:14" ht="12.75">
      <c r="A127" s="38" t="s">
        <v>37</v>
      </c>
      <c r="E127" s="40"/>
      <c r="F127" s="46"/>
      <c r="G127" s="46"/>
      <c r="N127" s="31">
        <f t="shared" si="2"/>
        <v>11189440</v>
      </c>
    </row>
    <row r="128" spans="1:16" ht="12.75">
      <c r="A128" s="38" t="s">
        <v>38</v>
      </c>
      <c r="C128" s="14">
        <f>C124+C109</f>
        <v>53428705</v>
      </c>
      <c r="E128" s="14">
        <f>E105</f>
        <v>-402669</v>
      </c>
      <c r="F128" s="46"/>
      <c r="G128" s="46"/>
      <c r="N128" s="31">
        <f t="shared" si="2"/>
        <v>11189440</v>
      </c>
      <c r="O128" s="1">
        <v>41820</v>
      </c>
      <c r="P128" s="19">
        <v>37937461</v>
      </c>
    </row>
    <row r="129" spans="1:14" ht="12.75">
      <c r="A129" s="38" t="s">
        <v>39</v>
      </c>
      <c r="E129" s="40"/>
      <c r="F129" s="46"/>
      <c r="G129" s="14">
        <f>G110+G124+E124</f>
        <v>-6862366</v>
      </c>
      <c r="N129" s="31">
        <f t="shared" si="2"/>
        <v>11189440</v>
      </c>
    </row>
    <row r="130" ht="12.75">
      <c r="N130" s="31">
        <f t="shared" si="2"/>
        <v>11189440</v>
      </c>
    </row>
    <row r="131" spans="1:14" ht="12.75">
      <c r="A131" s="38" t="s">
        <v>40</v>
      </c>
      <c r="G131" s="14">
        <f>C128+G129</f>
        <v>46566339</v>
      </c>
      <c r="N131" s="31">
        <f t="shared" si="2"/>
        <v>11189440</v>
      </c>
    </row>
    <row r="132" spans="1:14" ht="12.75">
      <c r="A132" s="38"/>
      <c r="G132" s="46"/>
      <c r="N132" s="31">
        <f t="shared" si="2"/>
        <v>11189440</v>
      </c>
    </row>
    <row r="133" spans="1:18" ht="12.75">
      <c r="A133" s="51">
        <v>41841</v>
      </c>
      <c r="C133" s="2">
        <v>671256</v>
      </c>
      <c r="F133" s="2">
        <v>-4204215</v>
      </c>
      <c r="G133" s="46">
        <v>-34356</v>
      </c>
      <c r="I133" s="2">
        <v>55623</v>
      </c>
      <c r="K133" s="6">
        <f>SUM(C133:J133)</f>
        <v>-3511692</v>
      </c>
      <c r="M133" s="6">
        <f>C133+F133+G133+E133</f>
        <v>-3567315</v>
      </c>
      <c r="N133" s="31">
        <f t="shared" si="2"/>
        <v>7622125</v>
      </c>
      <c r="O133" s="1">
        <v>41912</v>
      </c>
      <c r="P133" s="19">
        <v>36700445</v>
      </c>
      <c r="R133" s="60">
        <f>R122+M133+I133</f>
        <v>10842256</v>
      </c>
    </row>
    <row r="134" spans="1:14" ht="12.75">
      <c r="A134" s="38"/>
      <c r="G134" s="46"/>
      <c r="K134" s="6"/>
      <c r="M134" s="6"/>
      <c r="N134" s="31">
        <f t="shared" si="2"/>
        <v>7622125</v>
      </c>
    </row>
    <row r="135" spans="1:18" ht="12.75">
      <c r="A135" s="51">
        <v>41990</v>
      </c>
      <c r="C135" s="2">
        <v>413651</v>
      </c>
      <c r="F135" s="2">
        <v>-3420039</v>
      </c>
      <c r="G135" s="46">
        <v>24566</v>
      </c>
      <c r="I135" s="2">
        <v>107067</v>
      </c>
      <c r="K135" s="6">
        <f>SUM(C135:J135)</f>
        <v>-2874755</v>
      </c>
      <c r="M135" s="6">
        <f>C135+F135+G135+E135</f>
        <v>-2981822</v>
      </c>
      <c r="N135" s="31">
        <f t="shared" si="2"/>
        <v>4640303</v>
      </c>
      <c r="O135" s="1">
        <v>42004</v>
      </c>
      <c r="P135" s="19">
        <v>32661458</v>
      </c>
      <c r="R135" s="60">
        <f>R133+M135+I135</f>
        <v>7967501</v>
      </c>
    </row>
    <row r="136" spans="1:14" ht="12.75">
      <c r="A136" s="38"/>
      <c r="G136" s="46"/>
      <c r="K136" s="6"/>
      <c r="M136" s="6"/>
      <c r="N136" s="31">
        <f t="shared" si="2"/>
        <v>4640303</v>
      </c>
    </row>
    <row r="137" spans="1:18" ht="12.75">
      <c r="A137" s="1">
        <v>42081</v>
      </c>
      <c r="C137" s="2">
        <v>0</v>
      </c>
      <c r="F137" s="2">
        <v>-2582944</v>
      </c>
      <c r="G137" s="2">
        <v>-46123</v>
      </c>
      <c r="I137" s="2">
        <v>45144</v>
      </c>
      <c r="K137" s="6">
        <f>SUM(C137:J137)</f>
        <v>-2583923</v>
      </c>
      <c r="M137" s="6">
        <f>C137+F137+G137+E137</f>
        <v>-2629067</v>
      </c>
      <c r="N137" s="34">
        <f t="shared" si="2"/>
        <v>2011236</v>
      </c>
      <c r="O137" s="47">
        <v>42094</v>
      </c>
      <c r="R137" s="63">
        <f>R135+M137+I137</f>
        <v>5383578</v>
      </c>
    </row>
    <row r="138" spans="1:18" ht="12.75">
      <c r="A138" s="1"/>
      <c r="K138" s="6"/>
      <c r="M138" s="6"/>
      <c r="N138" s="31">
        <f t="shared" si="2"/>
        <v>2011236</v>
      </c>
      <c r="O138" s="47"/>
      <c r="R138" s="60"/>
    </row>
    <row r="139" spans="1:18" ht="12.75">
      <c r="A139" s="56" t="s">
        <v>52</v>
      </c>
      <c r="C139" s="14">
        <f>SUM(C133:C137)</f>
        <v>1084907</v>
      </c>
      <c r="E139" s="14">
        <f>SUM(E133:E137)</f>
        <v>0</v>
      </c>
      <c r="F139" s="14">
        <f>SUM(F133:F137)</f>
        <v>-10207198</v>
      </c>
      <c r="G139" s="14">
        <f>SUM(G133:G137)</f>
        <v>-55913</v>
      </c>
      <c r="K139" s="6"/>
      <c r="M139" s="6"/>
      <c r="N139" s="31">
        <f>N138+M139</f>
        <v>2011236</v>
      </c>
      <c r="O139" s="47"/>
      <c r="R139" s="60"/>
    </row>
    <row r="140" spans="1:18" ht="12.75">
      <c r="A140" s="56"/>
      <c r="C140" s="46"/>
      <c r="E140" s="46"/>
      <c r="F140" s="46"/>
      <c r="G140" s="46"/>
      <c r="K140" s="6"/>
      <c r="M140" s="6"/>
      <c r="N140" s="31">
        <f aca="true" t="shared" si="3" ref="N140:N160">N139+M140</f>
        <v>2011236</v>
      </c>
      <c r="O140" s="47"/>
      <c r="R140" s="60"/>
    </row>
    <row r="141" spans="7:18" ht="12.75">
      <c r="G141" s="14">
        <f>G126+E139+F139+G139</f>
        <v>-52502376</v>
      </c>
      <c r="K141" s="6"/>
      <c r="M141" s="6"/>
      <c r="N141" s="31">
        <f t="shared" si="3"/>
        <v>2011236</v>
      </c>
      <c r="O141" s="47"/>
      <c r="R141" s="60"/>
    </row>
    <row r="142" spans="1:18" ht="12.75">
      <c r="A142" s="38" t="s">
        <v>37</v>
      </c>
      <c r="E142" s="40"/>
      <c r="F142" s="46"/>
      <c r="G142" s="46"/>
      <c r="K142" s="6"/>
      <c r="M142" s="6"/>
      <c r="N142" s="31">
        <f t="shared" si="3"/>
        <v>2011236</v>
      </c>
      <c r="O142" s="47"/>
      <c r="R142" s="60"/>
    </row>
    <row r="143" spans="1:18" ht="12.75">
      <c r="A143" s="38" t="s">
        <v>38</v>
      </c>
      <c r="C143" s="14">
        <f>C139+C128</f>
        <v>54513612</v>
      </c>
      <c r="E143" s="14">
        <f>E128</f>
        <v>-402669</v>
      </c>
      <c r="F143" s="46"/>
      <c r="G143" s="46"/>
      <c r="K143" s="6"/>
      <c r="M143" s="6"/>
      <c r="N143" s="31">
        <f t="shared" si="3"/>
        <v>2011236</v>
      </c>
      <c r="O143" s="47"/>
      <c r="R143" s="60"/>
    </row>
    <row r="144" spans="1:18" ht="12.75">
      <c r="A144" s="38" t="s">
        <v>39</v>
      </c>
      <c r="E144" s="40"/>
      <c r="F144" s="46"/>
      <c r="G144" s="14">
        <f>G129+G139+E139</f>
        <v>-6918279</v>
      </c>
      <c r="K144" s="6"/>
      <c r="M144" s="6"/>
      <c r="N144" s="31">
        <f t="shared" si="3"/>
        <v>2011236</v>
      </c>
      <c r="O144" s="47"/>
      <c r="R144" s="60"/>
    </row>
    <row r="145" spans="3:18" ht="12.75">
      <c r="C145" s="2">
        <f>C143+E143</f>
        <v>54110943</v>
      </c>
      <c r="K145" s="6"/>
      <c r="M145" s="6"/>
      <c r="N145" s="31">
        <f t="shared" si="3"/>
        <v>2011236</v>
      </c>
      <c r="O145" s="47"/>
      <c r="R145" s="60"/>
    </row>
    <row r="146" spans="1:18" ht="12.75">
      <c r="A146" s="38" t="s">
        <v>40</v>
      </c>
      <c r="G146" s="64">
        <f>C143+G144</f>
        <v>47595333</v>
      </c>
      <c r="K146" s="6"/>
      <c r="M146" s="6"/>
      <c r="N146" s="31">
        <f t="shared" si="3"/>
        <v>2011236</v>
      </c>
      <c r="O146" s="47"/>
      <c r="R146" s="60"/>
    </row>
    <row r="147" ht="12.75">
      <c r="N147" s="31">
        <f t="shared" si="3"/>
        <v>2011236</v>
      </c>
    </row>
    <row r="148" ht="12.75">
      <c r="N148" s="31">
        <f t="shared" si="3"/>
        <v>2011236</v>
      </c>
    </row>
    <row r="149" spans="1:21" ht="12.75">
      <c r="A149" s="51">
        <v>42180</v>
      </c>
      <c r="B149" s="43"/>
      <c r="C149" s="43"/>
      <c r="D149" s="13"/>
      <c r="E149" s="68">
        <v>1139192</v>
      </c>
      <c r="F149" s="13">
        <v>-3156690</v>
      </c>
      <c r="G149" s="40">
        <v>6263</v>
      </c>
      <c r="H149" s="13"/>
      <c r="I149" s="13">
        <v>43102</v>
      </c>
      <c r="J149" s="13"/>
      <c r="K149" s="13">
        <f>SUM(C149:J149)-E149</f>
        <v>-3107325</v>
      </c>
      <c r="L149" s="70"/>
      <c r="M149" s="13">
        <f>C149+F149+G149+E149</f>
        <v>-2011235</v>
      </c>
      <c r="N149" s="31">
        <f t="shared" si="3"/>
        <v>1</v>
      </c>
      <c r="O149" s="1">
        <v>42185</v>
      </c>
      <c r="P149" s="19">
        <v>29760822</v>
      </c>
      <c r="R149" s="63">
        <f>R137+M149+I149-E149</f>
        <v>2276253</v>
      </c>
      <c r="U149" s="18"/>
    </row>
    <row r="150" spans="5:16" ht="12.75">
      <c r="E150" s="13" t="s">
        <v>53</v>
      </c>
      <c r="L150" s="70"/>
      <c r="N150" s="31">
        <f t="shared" si="3"/>
        <v>1</v>
      </c>
      <c r="O150" s="1">
        <v>42277</v>
      </c>
      <c r="P150" s="19">
        <v>29910976</v>
      </c>
    </row>
    <row r="151" spans="12:18" ht="12.75">
      <c r="L151" s="70"/>
      <c r="N151" s="31">
        <f t="shared" si="3"/>
        <v>1</v>
      </c>
      <c r="O151" s="1">
        <v>42369</v>
      </c>
      <c r="P151" s="19">
        <v>28175219</v>
      </c>
      <c r="R151" s="72"/>
    </row>
    <row r="152" spans="1:18" ht="12.75">
      <c r="A152" s="1">
        <v>42402</v>
      </c>
      <c r="E152" s="68">
        <v>2323844</v>
      </c>
      <c r="F152" s="2">
        <v>-2323844</v>
      </c>
      <c r="I152" s="2">
        <v>35827</v>
      </c>
      <c r="K152" s="13">
        <f>SUM(C152:J152)-E152</f>
        <v>-2288017</v>
      </c>
      <c r="M152" s="13">
        <f>C152+F152+G152+E152</f>
        <v>0</v>
      </c>
      <c r="N152" s="31">
        <f t="shared" si="3"/>
        <v>1</v>
      </c>
      <c r="R152" s="73"/>
    </row>
    <row r="153" spans="5:14" ht="12.75">
      <c r="E153" s="13" t="s">
        <v>53</v>
      </c>
      <c r="N153" s="76">
        <f t="shared" si="3"/>
        <v>1</v>
      </c>
    </row>
    <row r="154" spans="1:14" ht="12.75">
      <c r="A154" s="1">
        <v>42480</v>
      </c>
      <c r="E154" s="68">
        <v>1570050</v>
      </c>
      <c r="F154" s="2">
        <v>-1570050</v>
      </c>
      <c r="I154" s="2">
        <v>35110</v>
      </c>
      <c r="K154" s="13">
        <f>SUM(C155:J155)-E154</f>
        <v>-1570050</v>
      </c>
      <c r="M154" s="13">
        <f>C155+F154+G154+E154</f>
        <v>0</v>
      </c>
      <c r="N154" s="31">
        <f t="shared" si="3"/>
        <v>1</v>
      </c>
    </row>
    <row r="155" spans="13:14" ht="12.75">
      <c r="M155" s="13"/>
      <c r="N155" s="31">
        <f t="shared" si="3"/>
        <v>1</v>
      </c>
    </row>
    <row r="156" spans="1:14" ht="12.75">
      <c r="A156" s="1">
        <v>42570</v>
      </c>
      <c r="E156" s="13">
        <v>1577102</v>
      </c>
      <c r="F156" s="2">
        <v>-1577102</v>
      </c>
      <c r="I156" s="2">
        <v>32476</v>
      </c>
      <c r="K156" s="13">
        <f>SUM(C157:J157)-E156</f>
        <v>-1577102</v>
      </c>
      <c r="M156" s="13">
        <f>C157+F156+G156+E156</f>
        <v>0</v>
      </c>
      <c r="N156" s="31">
        <f t="shared" si="3"/>
        <v>1</v>
      </c>
    </row>
    <row r="157" spans="11:14" ht="12.75">
      <c r="K157" s="13"/>
      <c r="M157" s="13"/>
      <c r="N157" s="31">
        <f t="shared" si="3"/>
        <v>1</v>
      </c>
    </row>
    <row r="158" spans="1:16" ht="12.75">
      <c r="A158" s="1">
        <v>42705</v>
      </c>
      <c r="E158" s="13">
        <v>1722285</v>
      </c>
      <c r="F158" s="2">
        <v>-1722285</v>
      </c>
      <c r="I158" s="2">
        <v>30809</v>
      </c>
      <c r="K158" s="13">
        <f>SUM(C159:J159)-E158</f>
        <v>-1722285</v>
      </c>
      <c r="M158" s="13">
        <f>C159+F158+G158+E158</f>
        <v>0</v>
      </c>
      <c r="N158" s="31">
        <f t="shared" si="3"/>
        <v>1</v>
      </c>
      <c r="O158" s="1">
        <v>42735</v>
      </c>
      <c r="P158" s="19">
        <v>19414626</v>
      </c>
    </row>
    <row r="159" spans="11:14" ht="12.75">
      <c r="K159" s="13"/>
      <c r="M159" s="13"/>
      <c r="N159" s="31">
        <f t="shared" si="3"/>
        <v>1</v>
      </c>
    </row>
    <row r="160" spans="1:14" ht="12.75">
      <c r="A160" s="1">
        <v>42788</v>
      </c>
      <c r="C160" s="2">
        <v>619620</v>
      </c>
      <c r="F160" s="2">
        <v>-2205224</v>
      </c>
      <c r="I160" s="2">
        <v>29974</v>
      </c>
      <c r="K160" s="13">
        <f>SUM(C161:J161)-E160</f>
        <v>0</v>
      </c>
      <c r="M160" s="13">
        <v>0</v>
      </c>
      <c r="N160" s="31">
        <f t="shared" si="3"/>
        <v>1</v>
      </c>
    </row>
    <row r="163" ht="12.75">
      <c r="G163" s="7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0"/>
  <sheetViews>
    <sheetView zoomScale="75" zoomScaleNormal="75" zoomScalePageLayoutView="0" workbookViewId="0" topLeftCell="A1">
      <pane ySplit="7" topLeftCell="A122" activePane="bottomLeft" state="frozen"/>
      <selection pane="topLeft" activeCell="A1" sqref="A1"/>
      <selection pane="bottomLeft" activeCell="I151" sqref="I151"/>
    </sheetView>
  </sheetViews>
  <sheetFormatPr defaultColWidth="9.140625" defaultRowHeight="12.75"/>
  <cols>
    <col min="1" max="1" width="12.7109375" style="1" customWidth="1"/>
    <col min="2" max="2" width="9.140625" style="13" customWidth="1"/>
    <col min="3" max="3" width="12.8515625" style="13" customWidth="1"/>
    <col min="4" max="4" width="9.28125" style="13" bestFit="1" customWidth="1"/>
    <col min="5" max="5" width="9.140625" style="13" customWidth="1"/>
    <col min="6" max="6" width="10.7109375" style="13" customWidth="1"/>
    <col min="7" max="7" width="13.28125" style="13" customWidth="1"/>
    <col min="8" max="8" width="13.57421875" style="13" customWidth="1"/>
    <col min="9" max="9" width="9.28125" style="13" bestFit="1" customWidth="1"/>
    <col min="10" max="10" width="9.140625" style="13" customWidth="1"/>
    <col min="11" max="11" width="12.7109375" style="13" customWidth="1"/>
    <col min="12" max="12" width="9.140625" style="13" customWidth="1"/>
    <col min="13" max="13" width="11.28125" style="13" customWidth="1"/>
    <col min="14" max="14" width="13.00390625" style="13" customWidth="1"/>
    <col min="15" max="15" width="13.7109375" style="1" customWidth="1"/>
    <col min="16" max="16" width="13.00390625" style="12" bestFit="1" customWidth="1"/>
    <col min="17" max="17" width="10.28125" style="13" bestFit="1" customWidth="1"/>
    <col min="18" max="18" width="14.00390625" style="12" bestFit="1" customWidth="1"/>
    <col min="19" max="19" width="11.421875" style="13" customWidth="1"/>
    <col min="20" max="20" width="11.421875" style="13" bestFit="1" customWidth="1"/>
    <col min="21" max="16384" width="9.140625" style="13" customWidth="1"/>
  </cols>
  <sheetData>
    <row r="1" ht="12.75">
      <c r="A1" s="1" t="s">
        <v>18</v>
      </c>
    </row>
    <row r="3" spans="1:20" ht="12.75">
      <c r="A3" s="1" t="s">
        <v>19</v>
      </c>
      <c r="C3" s="12"/>
      <c r="F3" s="12"/>
      <c r="G3" s="12"/>
      <c r="I3" s="12"/>
      <c r="J3" s="12"/>
      <c r="P3" s="25" t="s">
        <v>25</v>
      </c>
      <c r="R3" s="26" t="s">
        <v>25</v>
      </c>
      <c r="T3" s="55" t="s">
        <v>43</v>
      </c>
    </row>
    <row r="4" spans="3:20" ht="15">
      <c r="C4" s="12"/>
      <c r="F4" s="12"/>
      <c r="G4" s="12"/>
      <c r="I4" s="12"/>
      <c r="J4" s="12"/>
      <c r="P4" s="25" t="s">
        <v>26</v>
      </c>
      <c r="R4" s="27" t="s">
        <v>29</v>
      </c>
      <c r="T4" s="54" t="s">
        <v>44</v>
      </c>
    </row>
    <row r="5" spans="1:18" ht="15">
      <c r="A5" s="30" t="s">
        <v>0</v>
      </c>
      <c r="C5" s="27" t="s">
        <v>2</v>
      </c>
      <c r="F5" s="25" t="s">
        <v>3</v>
      </c>
      <c r="G5" s="25" t="s">
        <v>4</v>
      </c>
      <c r="H5" s="26" t="s">
        <v>5</v>
      </c>
      <c r="I5" s="25" t="s">
        <v>7</v>
      </c>
      <c r="J5" s="25" t="s">
        <v>9</v>
      </c>
      <c r="K5" s="25" t="s">
        <v>10</v>
      </c>
      <c r="M5" s="25" t="s">
        <v>23</v>
      </c>
      <c r="N5" s="25" t="s">
        <v>24</v>
      </c>
      <c r="P5" s="25" t="s">
        <v>27</v>
      </c>
      <c r="R5" s="27" t="s">
        <v>30</v>
      </c>
    </row>
    <row r="6" spans="1:11" ht="12.75">
      <c r="A6" s="30" t="s">
        <v>1</v>
      </c>
      <c r="C6" s="12"/>
      <c r="F6" s="12"/>
      <c r="G6" s="25" t="s">
        <v>3</v>
      </c>
      <c r="H6" s="26" t="s">
        <v>6</v>
      </c>
      <c r="I6" s="25" t="s">
        <v>8</v>
      </c>
      <c r="J6" s="25" t="s">
        <v>7</v>
      </c>
      <c r="K6" s="25" t="s">
        <v>16</v>
      </c>
    </row>
    <row r="7" spans="1:11" ht="12.75">
      <c r="A7" s="30"/>
      <c r="C7" s="12"/>
      <c r="F7" s="12"/>
      <c r="G7" s="25"/>
      <c r="H7" s="26"/>
      <c r="I7" s="25"/>
      <c r="J7" s="25" t="s">
        <v>8</v>
      </c>
      <c r="K7" s="26" t="s">
        <v>11</v>
      </c>
    </row>
    <row r="8" spans="1:10" ht="12.75">
      <c r="A8" s="30"/>
      <c r="C8" s="12"/>
      <c r="F8" s="12"/>
      <c r="G8" s="25"/>
      <c r="H8" s="26"/>
      <c r="I8" s="25"/>
      <c r="J8" s="12"/>
    </row>
    <row r="9" spans="3:10" ht="12.75">
      <c r="C9" s="12"/>
      <c r="F9" s="12"/>
      <c r="G9" s="12"/>
      <c r="I9" s="12"/>
      <c r="J9" s="12"/>
    </row>
    <row r="10" spans="1:14" ht="12.75">
      <c r="A10" s="1">
        <v>39111</v>
      </c>
      <c r="B10" s="13" t="s">
        <v>20</v>
      </c>
      <c r="C10" s="12">
        <v>900000</v>
      </c>
      <c r="D10" s="13">
        <v>0.09</v>
      </c>
      <c r="F10" s="12"/>
      <c r="G10" s="12"/>
      <c r="H10" s="12"/>
      <c r="I10" s="12">
        <v>19479</v>
      </c>
      <c r="J10" s="12"/>
      <c r="K10" s="13">
        <f>SUM(C10:J10)</f>
        <v>919479.09</v>
      </c>
      <c r="M10" s="13">
        <f>C10+F10+G10</f>
        <v>900000</v>
      </c>
      <c r="N10" s="13">
        <f>M10</f>
        <v>900000</v>
      </c>
    </row>
    <row r="11" spans="3:14" ht="12.75">
      <c r="C11" s="12"/>
      <c r="F11" s="12"/>
      <c r="G11" s="12"/>
      <c r="I11" s="12"/>
      <c r="J11" s="12"/>
      <c r="K11" s="13">
        <f>C11</f>
        <v>0</v>
      </c>
      <c r="M11" s="13">
        <f>C11+F11+G11</f>
        <v>0</v>
      </c>
      <c r="N11" s="13">
        <f>N10+M11</f>
        <v>900000</v>
      </c>
    </row>
    <row r="12" spans="1:14" ht="13.5" thickBot="1">
      <c r="A12" s="1" t="s">
        <v>21</v>
      </c>
      <c r="C12" s="28">
        <f>SUM(C5:C11)</f>
        <v>900000</v>
      </c>
      <c r="F12" s="12"/>
      <c r="G12" s="12"/>
      <c r="I12" s="12"/>
      <c r="J12" s="12"/>
      <c r="N12" s="13">
        <f>N11+M12</f>
        <v>900000</v>
      </c>
    </row>
    <row r="13" spans="1:18" ht="13.5" thickBot="1">
      <c r="A13" s="1" t="s">
        <v>22</v>
      </c>
      <c r="C13" s="12"/>
      <c r="F13" s="12"/>
      <c r="G13" s="12"/>
      <c r="H13" s="12"/>
      <c r="I13" s="12"/>
      <c r="J13" s="12"/>
      <c r="M13" s="13">
        <f>C13+F13+G13</f>
        <v>0</v>
      </c>
      <c r="N13" s="23">
        <f>N12+M13</f>
        <v>900000</v>
      </c>
      <c r="O13" s="47">
        <v>39172</v>
      </c>
      <c r="P13" s="50">
        <v>874779</v>
      </c>
      <c r="R13" s="12">
        <v>900000</v>
      </c>
    </row>
    <row r="14" spans="3:10" ht="12.75">
      <c r="C14" s="12"/>
      <c r="F14" s="12"/>
      <c r="G14" s="12"/>
      <c r="H14" s="12"/>
      <c r="I14" s="12"/>
      <c r="J14" s="12"/>
    </row>
    <row r="15" spans="3:10" ht="13.5" thickBot="1">
      <c r="C15" s="12"/>
      <c r="F15" s="12"/>
      <c r="G15" s="12"/>
      <c r="H15" s="12"/>
      <c r="I15" s="12"/>
      <c r="J15" s="12"/>
    </row>
    <row r="16" ht="13.5" thickBot="1">
      <c r="N16" s="23">
        <f>N13+M16</f>
        <v>900000</v>
      </c>
    </row>
    <row r="17" spans="1:18" ht="12.75">
      <c r="A17" s="1">
        <v>39290</v>
      </c>
      <c r="C17" s="13">
        <v>200000</v>
      </c>
      <c r="I17" s="13">
        <v>45123</v>
      </c>
      <c r="K17" s="13">
        <f>SUM(C17:J17)</f>
        <v>245123</v>
      </c>
      <c r="M17" s="13">
        <f>C17+F17+G17</f>
        <v>200000</v>
      </c>
      <c r="N17" s="13">
        <f aca="true" t="shared" si="0" ref="N17:N24">N16+M17</f>
        <v>1100000</v>
      </c>
      <c r="R17" s="12">
        <f>R13+200000</f>
        <v>1100000</v>
      </c>
    </row>
    <row r="18" ht="12.75">
      <c r="N18" s="13">
        <f t="shared" si="0"/>
        <v>1100000</v>
      </c>
    </row>
    <row r="19" spans="1:18" ht="12.75">
      <c r="A19" s="1">
        <v>39332</v>
      </c>
      <c r="C19" s="13">
        <v>582153</v>
      </c>
      <c r="G19" s="13">
        <v>-162153</v>
      </c>
      <c r="K19" s="13">
        <f>SUM(C19:J19)</f>
        <v>420000</v>
      </c>
      <c r="M19" s="13">
        <f>C19+F19+G19</f>
        <v>420000</v>
      </c>
      <c r="N19" s="29">
        <f t="shared" si="0"/>
        <v>1520000</v>
      </c>
      <c r="R19" s="12">
        <v>1520000</v>
      </c>
    </row>
    <row r="20" ht="12.75">
      <c r="N20" s="29">
        <f t="shared" si="0"/>
        <v>1520000</v>
      </c>
    </row>
    <row r="21" spans="1:18" ht="12.75">
      <c r="A21" s="1">
        <v>39471</v>
      </c>
      <c r="C21" s="13">
        <v>532642</v>
      </c>
      <c r="F21" s="13">
        <v>-14000</v>
      </c>
      <c r="G21" s="13">
        <v>-138642</v>
      </c>
      <c r="I21" s="13">
        <v>45062</v>
      </c>
      <c r="K21" s="13">
        <f>SUM(C21:J21)</f>
        <v>425062</v>
      </c>
      <c r="M21" s="13">
        <f>C21+F21+G21</f>
        <v>380000</v>
      </c>
      <c r="N21" s="29">
        <f t="shared" si="0"/>
        <v>1900000</v>
      </c>
      <c r="R21" s="12">
        <v>1900000</v>
      </c>
    </row>
    <row r="22" ht="12.75">
      <c r="N22" s="29">
        <f t="shared" si="0"/>
        <v>1900000</v>
      </c>
    </row>
    <row r="23" ht="13.5" thickBot="1">
      <c r="N23" s="29">
        <f t="shared" si="0"/>
        <v>1900000</v>
      </c>
    </row>
    <row r="24" spans="1:16" ht="13.5" thickBot="1">
      <c r="A24" s="1" t="s">
        <v>34</v>
      </c>
      <c r="C24" s="23">
        <f>SUM(C16:C23)</f>
        <v>1314795</v>
      </c>
      <c r="F24" s="32">
        <f>SUM(F21:F23)</f>
        <v>-14000</v>
      </c>
      <c r="G24" s="24">
        <f>SUM(G19:G23)</f>
        <v>-300795</v>
      </c>
      <c r="N24" s="23">
        <f t="shared" si="0"/>
        <v>1900000</v>
      </c>
      <c r="O24" s="47">
        <v>39538</v>
      </c>
      <c r="P24" s="50">
        <v>1917937</v>
      </c>
    </row>
    <row r="25" spans="13:14" ht="12.75">
      <c r="M25" s="13">
        <f>C25+F25+G25</f>
        <v>0</v>
      </c>
      <c r="N25" s="29"/>
    </row>
    <row r="26" spans="1:14" ht="12.75">
      <c r="A26" s="1" t="s">
        <v>35</v>
      </c>
      <c r="C26" s="32">
        <f>C24+C12</f>
        <v>2214795</v>
      </c>
      <c r="G26" s="32">
        <f>G24+F24</f>
        <v>-314795</v>
      </c>
      <c r="N26" s="41">
        <f>N24+M26</f>
        <v>1900000</v>
      </c>
    </row>
    <row r="27" spans="13:14" ht="12.75">
      <c r="M27" s="13">
        <f>C27+F27+G27</f>
        <v>0</v>
      </c>
      <c r="N27" s="41">
        <f aca="true" t="shared" si="1" ref="N27:N56">N26+M27</f>
        <v>1900000</v>
      </c>
    </row>
    <row r="28" spans="1:18" ht="12.75">
      <c r="A28" s="1">
        <v>39615</v>
      </c>
      <c r="C28" s="13">
        <v>500000</v>
      </c>
      <c r="I28" s="13">
        <v>22377</v>
      </c>
      <c r="K28" s="13">
        <f>SUM(C28:J28)</f>
        <v>522377</v>
      </c>
      <c r="M28" s="13">
        <f>C28+F28+G28</f>
        <v>500000</v>
      </c>
      <c r="N28" s="29">
        <f t="shared" si="1"/>
        <v>2400000</v>
      </c>
      <c r="R28" s="12">
        <v>2400000</v>
      </c>
    </row>
    <row r="29" ht="12.75">
      <c r="N29" s="29">
        <f t="shared" si="1"/>
        <v>2400000</v>
      </c>
    </row>
    <row r="30" spans="1:18" ht="12.75">
      <c r="A30" s="1">
        <v>39615</v>
      </c>
      <c r="C30" s="13">
        <v>369000</v>
      </c>
      <c r="K30" s="13">
        <f>SUM(C30:J30)</f>
        <v>369000</v>
      </c>
      <c r="M30" s="13">
        <f>C30+F30+G30</f>
        <v>369000</v>
      </c>
      <c r="N30" s="29">
        <f t="shared" si="1"/>
        <v>2769000</v>
      </c>
      <c r="R30" s="12">
        <v>2769000</v>
      </c>
    </row>
    <row r="31" ht="12.75">
      <c r="N31" s="29">
        <f t="shared" si="1"/>
        <v>2769000</v>
      </c>
    </row>
    <row r="32" spans="1:18" ht="12.75">
      <c r="A32" s="1">
        <v>39660</v>
      </c>
      <c r="C32" s="13">
        <v>519849</v>
      </c>
      <c r="G32" s="13">
        <v>-19849</v>
      </c>
      <c r="I32" s="13">
        <v>22623</v>
      </c>
      <c r="K32" s="13">
        <f>SUM(C32:J32)</f>
        <v>522623</v>
      </c>
      <c r="M32" s="13">
        <f>C32+F32+G32</f>
        <v>500000</v>
      </c>
      <c r="N32" s="29">
        <f t="shared" si="1"/>
        <v>3269000</v>
      </c>
      <c r="R32" s="12">
        <v>3269000</v>
      </c>
    </row>
    <row r="33" ht="12.75">
      <c r="N33" s="29">
        <f t="shared" si="1"/>
        <v>3269000</v>
      </c>
    </row>
    <row r="34" spans="1:18" ht="12.75">
      <c r="A34" s="1">
        <v>39717</v>
      </c>
      <c r="C34" s="13">
        <v>665206</v>
      </c>
      <c r="F34" s="13">
        <v>-378</v>
      </c>
      <c r="G34" s="13">
        <v>-56829</v>
      </c>
      <c r="K34" s="13">
        <f>SUM(C34:J34)</f>
        <v>607999</v>
      </c>
      <c r="M34" s="13">
        <f>C34+F34+G34</f>
        <v>607999</v>
      </c>
      <c r="N34" s="29">
        <f t="shared" si="1"/>
        <v>3876999</v>
      </c>
      <c r="R34" s="12">
        <v>3876999</v>
      </c>
    </row>
    <row r="35" ht="12.75">
      <c r="N35" s="29">
        <f t="shared" si="1"/>
        <v>3876999</v>
      </c>
    </row>
    <row r="36" spans="1:14" ht="12.75">
      <c r="A36" s="1">
        <v>39752</v>
      </c>
      <c r="C36" s="13">
        <v>500000</v>
      </c>
      <c r="H36" s="13">
        <v>-14957</v>
      </c>
      <c r="I36" s="13">
        <v>22623</v>
      </c>
      <c r="K36" s="13">
        <f>SUM(C36:J36)</f>
        <v>507666</v>
      </c>
      <c r="M36" s="13">
        <f>C36+F36+G36</f>
        <v>500000</v>
      </c>
      <c r="N36" s="29">
        <f t="shared" si="1"/>
        <v>4376999</v>
      </c>
    </row>
    <row r="37" ht="12.75">
      <c r="N37" s="29">
        <f t="shared" si="1"/>
        <v>4376999</v>
      </c>
    </row>
    <row r="38" spans="1:14" ht="12.75">
      <c r="A38" s="1">
        <v>39772</v>
      </c>
      <c r="C38" s="13">
        <v>600000</v>
      </c>
      <c r="K38" s="13">
        <f>SUM(C38:J38)</f>
        <v>600000</v>
      </c>
      <c r="M38" s="13">
        <f>C38+F38+G38</f>
        <v>600000</v>
      </c>
      <c r="N38" s="29">
        <f t="shared" si="1"/>
        <v>4976999</v>
      </c>
    </row>
    <row r="39" ht="12.75">
      <c r="N39" s="29">
        <f t="shared" si="1"/>
        <v>4976999</v>
      </c>
    </row>
    <row r="40" spans="1:18" ht="12.75">
      <c r="A40" s="1">
        <v>39896</v>
      </c>
      <c r="C40" s="13">
        <v>643017</v>
      </c>
      <c r="G40" s="13">
        <v>-53017</v>
      </c>
      <c r="I40" s="13">
        <v>22192</v>
      </c>
      <c r="K40" s="13">
        <f>SUM(C40:J40)</f>
        <v>612192</v>
      </c>
      <c r="M40" s="13">
        <f>C40+F40+G40</f>
        <v>590000</v>
      </c>
      <c r="N40" s="29">
        <f t="shared" si="1"/>
        <v>5566999</v>
      </c>
      <c r="R40" s="12">
        <v>5566999</v>
      </c>
    </row>
    <row r="41" ht="12.75">
      <c r="N41" s="29">
        <f t="shared" si="1"/>
        <v>5566999</v>
      </c>
    </row>
    <row r="42" spans="1:16" ht="12.75">
      <c r="A42" s="1" t="s">
        <v>36</v>
      </c>
      <c r="C42" s="32">
        <f>C28+C30+C32+C34+C36+C38+C40</f>
        <v>3797072</v>
      </c>
      <c r="F42" s="32">
        <f>SUM(F34:F41)</f>
        <v>-378</v>
      </c>
      <c r="G42" s="32">
        <f>G32+G34+G40</f>
        <v>-129695</v>
      </c>
      <c r="N42" s="24">
        <f t="shared" si="1"/>
        <v>5566999</v>
      </c>
      <c r="O42" s="47">
        <v>39903</v>
      </c>
      <c r="P42" s="50">
        <v>4528240</v>
      </c>
    </row>
    <row r="43" spans="3:14" ht="12.75">
      <c r="C43" s="40"/>
      <c r="F43" s="40"/>
      <c r="G43" s="40"/>
      <c r="N43" s="29">
        <f t="shared" si="1"/>
        <v>5566999</v>
      </c>
    </row>
    <row r="44" spans="3:14" ht="12.75">
      <c r="C44" s="40"/>
      <c r="F44" s="40"/>
      <c r="G44" s="32">
        <f>F42+G42</f>
        <v>-130073</v>
      </c>
      <c r="N44" s="29">
        <f t="shared" si="1"/>
        <v>5566999</v>
      </c>
    </row>
    <row r="45" ht="12.75">
      <c r="N45" s="29">
        <f t="shared" si="1"/>
        <v>5566999</v>
      </c>
    </row>
    <row r="46" spans="1:14" ht="12.75">
      <c r="A46" s="1" t="s">
        <v>35</v>
      </c>
      <c r="C46" s="24">
        <f>C26+C42</f>
        <v>6011867</v>
      </c>
      <c r="G46" s="24">
        <f>G26+G44</f>
        <v>-444868</v>
      </c>
      <c r="N46" s="29">
        <f t="shared" si="1"/>
        <v>5566999</v>
      </c>
    </row>
    <row r="47" ht="12.75">
      <c r="N47" s="29">
        <f t="shared" si="1"/>
        <v>5566999</v>
      </c>
    </row>
    <row r="48" spans="1:14" ht="12.75">
      <c r="A48" s="38" t="s">
        <v>37</v>
      </c>
      <c r="N48" s="29">
        <f t="shared" si="1"/>
        <v>5566999</v>
      </c>
    </row>
    <row r="49" spans="1:14" ht="12.75">
      <c r="A49" s="38" t="s">
        <v>38</v>
      </c>
      <c r="C49" s="32">
        <f>C46</f>
        <v>6011867</v>
      </c>
      <c r="N49" s="29">
        <f t="shared" si="1"/>
        <v>5566999</v>
      </c>
    </row>
    <row r="50" spans="1:14" ht="12.75">
      <c r="A50" s="38" t="s">
        <v>39</v>
      </c>
      <c r="C50" s="40"/>
      <c r="G50" s="32">
        <f>G42+G24</f>
        <v>-430490</v>
      </c>
      <c r="N50" s="29">
        <f t="shared" si="1"/>
        <v>5566999</v>
      </c>
    </row>
    <row r="51" spans="1:14" ht="12.75">
      <c r="A51"/>
      <c r="N51" s="29">
        <f t="shared" si="1"/>
        <v>5566999</v>
      </c>
    </row>
    <row r="52" spans="1:14" ht="12.75">
      <c r="A52" s="38" t="s">
        <v>40</v>
      </c>
      <c r="G52" s="32">
        <f>C49+G50</f>
        <v>5581377</v>
      </c>
      <c r="N52" s="29">
        <f t="shared" si="1"/>
        <v>5566999</v>
      </c>
    </row>
    <row r="53" ht="12.75">
      <c r="N53" s="29">
        <f t="shared" si="1"/>
        <v>5566999</v>
      </c>
    </row>
    <row r="54" spans="1:14" ht="12.75">
      <c r="A54" s="1">
        <v>40017</v>
      </c>
      <c r="C54" s="13">
        <v>420000</v>
      </c>
      <c r="I54" s="13">
        <v>45123</v>
      </c>
      <c r="K54" s="13">
        <f>SUM(C54:J54)</f>
        <v>465123</v>
      </c>
      <c r="M54" s="13">
        <f>C54+F54+G54</f>
        <v>420000</v>
      </c>
      <c r="N54" s="29">
        <f t="shared" si="1"/>
        <v>5986999</v>
      </c>
    </row>
    <row r="55" ht="12.75">
      <c r="N55" s="29">
        <f t="shared" si="1"/>
        <v>5986999</v>
      </c>
    </row>
    <row r="56" spans="1:18" ht="12.75">
      <c r="A56" s="42">
        <v>40140</v>
      </c>
      <c r="B56" s="43"/>
      <c r="C56" s="43">
        <v>250000</v>
      </c>
      <c r="K56" s="13">
        <f>SUM(C56:J56)</f>
        <v>250000</v>
      </c>
      <c r="M56" s="13">
        <f>C56+F56+G56</f>
        <v>250000</v>
      </c>
      <c r="N56" s="24">
        <f t="shared" si="1"/>
        <v>6236999</v>
      </c>
      <c r="O56" s="47">
        <v>40268</v>
      </c>
      <c r="P56" s="50">
        <v>6933745</v>
      </c>
      <c r="R56" s="12">
        <f>6681867-14378-430490</f>
        <v>6236999</v>
      </c>
    </row>
    <row r="57" spans="1:14" ht="12.75">
      <c r="A57" s="42"/>
      <c r="B57" s="43"/>
      <c r="C57" s="43"/>
      <c r="N57" s="29"/>
    </row>
    <row r="58" spans="1:14" ht="12.75">
      <c r="A58" s="38" t="s">
        <v>37</v>
      </c>
      <c r="B58" s="43"/>
      <c r="N58" s="29"/>
    </row>
    <row r="59" spans="1:14" ht="12.75">
      <c r="A59" s="38" t="s">
        <v>38</v>
      </c>
      <c r="B59" s="43"/>
      <c r="C59" s="44">
        <f>C49+C54+C56</f>
        <v>6681867</v>
      </c>
      <c r="N59" s="29"/>
    </row>
    <row r="60" spans="1:14" ht="12.75">
      <c r="A60" s="38" t="s">
        <v>39</v>
      </c>
      <c r="B60" s="43"/>
      <c r="C60" s="43"/>
      <c r="G60" s="32">
        <f>G50</f>
        <v>-430490</v>
      </c>
      <c r="N60" s="29"/>
    </row>
    <row r="61" spans="1:14" ht="12.75">
      <c r="A61"/>
      <c r="B61" s="43"/>
      <c r="C61" s="43"/>
      <c r="N61" s="29"/>
    </row>
    <row r="62" spans="1:14" ht="12.75">
      <c r="A62" s="38" t="s">
        <v>40</v>
      </c>
      <c r="B62" s="43"/>
      <c r="C62" s="43"/>
      <c r="G62" s="32">
        <f>C59+G60</f>
        <v>6251377</v>
      </c>
      <c r="N62" s="29">
        <f>N56+M62</f>
        <v>6236999</v>
      </c>
    </row>
    <row r="63" spans="1:14" ht="12.75">
      <c r="A63" s="38"/>
      <c r="B63" s="43"/>
      <c r="C63" s="43"/>
      <c r="N63" s="29">
        <f aca="true" t="shared" si="2" ref="N63:N71">N62+M63</f>
        <v>6236999</v>
      </c>
    </row>
    <row r="64" spans="1:14" ht="12.75">
      <c r="A64" s="42">
        <v>40294</v>
      </c>
      <c r="B64" s="43"/>
      <c r="C64" s="43">
        <v>824050</v>
      </c>
      <c r="F64" s="13">
        <v>-555520</v>
      </c>
      <c r="G64" s="13">
        <v>-499196</v>
      </c>
      <c r="H64" s="13">
        <v>-107</v>
      </c>
      <c r="I64" s="13">
        <v>67315</v>
      </c>
      <c r="K64" s="13">
        <f>SUM(C64:J64)</f>
        <v>-163458</v>
      </c>
      <c r="M64" s="13">
        <f>C64+F64+G64</f>
        <v>-230666</v>
      </c>
      <c r="N64" s="29">
        <f t="shared" si="2"/>
        <v>6006333</v>
      </c>
    </row>
    <row r="65" spans="14:16" ht="12.75">
      <c r="N65" s="29">
        <f t="shared" si="2"/>
        <v>6006333</v>
      </c>
      <c r="O65" s="1">
        <v>40359</v>
      </c>
      <c r="P65" s="12">
        <v>6912035</v>
      </c>
    </row>
    <row r="66" spans="1:18" ht="12.75">
      <c r="A66" s="51">
        <v>40470</v>
      </c>
      <c r="C66" s="13">
        <v>541831</v>
      </c>
      <c r="F66" s="13">
        <v>-194928</v>
      </c>
      <c r="G66" s="13">
        <v>-106903</v>
      </c>
      <c r="I66" s="13">
        <v>45370</v>
      </c>
      <c r="K66" s="13">
        <f>SUM(C66:J66)</f>
        <v>285370</v>
      </c>
      <c r="M66" s="13">
        <f>C66+F66+G66</f>
        <v>240000</v>
      </c>
      <c r="N66" s="29">
        <f t="shared" si="2"/>
        <v>6246333</v>
      </c>
      <c r="O66" s="1">
        <v>40451</v>
      </c>
      <c r="P66" s="12">
        <v>6990838</v>
      </c>
      <c r="R66" s="12">
        <f>7505917-569898-929686</f>
        <v>6006333</v>
      </c>
    </row>
    <row r="67" spans="1:14" ht="12.75">
      <c r="A67" s="38"/>
      <c r="C67" s="45"/>
      <c r="G67" s="40"/>
      <c r="N67" s="29">
        <f t="shared" si="2"/>
        <v>6246333</v>
      </c>
    </row>
    <row r="68" spans="1:14" ht="12.75">
      <c r="A68" s="51">
        <v>40529</v>
      </c>
      <c r="C68" s="13">
        <v>190000</v>
      </c>
      <c r="G68" s="40"/>
      <c r="K68" s="13">
        <f>SUM(C68:J68)</f>
        <v>190000</v>
      </c>
      <c r="M68" s="13">
        <f>C68+F68+G68</f>
        <v>190000</v>
      </c>
      <c r="N68" s="29">
        <f t="shared" si="2"/>
        <v>6436333</v>
      </c>
    </row>
    <row r="69" spans="1:16" ht="12.75">
      <c r="A69"/>
      <c r="G69" s="40"/>
      <c r="N69" s="29">
        <f t="shared" si="2"/>
        <v>6436333</v>
      </c>
      <c r="O69" s="1">
        <v>40543</v>
      </c>
      <c r="P69" s="12">
        <v>7855121</v>
      </c>
    </row>
    <row r="70" spans="1:14" ht="13.5" thickBot="1">
      <c r="A70" s="38" t="s">
        <v>37</v>
      </c>
      <c r="B70" s="43"/>
      <c r="N70" s="29">
        <f t="shared" si="2"/>
        <v>6436333</v>
      </c>
    </row>
    <row r="71" spans="1:15" ht="13.5" thickBot="1">
      <c r="A71" s="38" t="s">
        <v>38</v>
      </c>
      <c r="B71" s="43"/>
      <c r="C71" s="44">
        <f>C59+C64+C66+C68</f>
        <v>8237748</v>
      </c>
      <c r="G71" s="24">
        <f>G26+G44+F64+F66+G64+G66</f>
        <v>-1801415</v>
      </c>
      <c r="N71" s="23">
        <f t="shared" si="2"/>
        <v>6436333</v>
      </c>
      <c r="O71" s="47">
        <v>40633</v>
      </c>
    </row>
    <row r="72" spans="1:14" ht="12.75">
      <c r="A72" s="38"/>
      <c r="B72" s="43"/>
      <c r="C72" s="59"/>
      <c r="N72" s="29"/>
    </row>
    <row r="73" spans="1:14" ht="12.75">
      <c r="A73" s="38"/>
      <c r="B73" s="43"/>
      <c r="C73" s="59"/>
      <c r="N73" s="29"/>
    </row>
    <row r="74" spans="1:14" ht="12.75">
      <c r="A74" s="38" t="s">
        <v>39</v>
      </c>
      <c r="B74" s="43"/>
      <c r="C74" s="43"/>
      <c r="G74" s="32">
        <f>G60+G64+G66</f>
        <v>-1036589</v>
      </c>
      <c r="N74" s="29">
        <f>N71+M74</f>
        <v>6436333</v>
      </c>
    </row>
    <row r="75" spans="1:14" ht="12.75">
      <c r="A75"/>
      <c r="B75" s="43"/>
      <c r="C75" s="43"/>
      <c r="N75" s="29">
        <f aca="true" t="shared" si="3" ref="N75:N84">N74+M75</f>
        <v>6436333</v>
      </c>
    </row>
    <row r="76" spans="1:16" ht="12.75">
      <c r="A76" s="38" t="s">
        <v>40</v>
      </c>
      <c r="B76" s="43"/>
      <c r="C76" s="43"/>
      <c r="G76" s="32">
        <f>C71+G74</f>
        <v>7201159</v>
      </c>
      <c r="N76" s="29">
        <f t="shared" si="3"/>
        <v>6436333</v>
      </c>
      <c r="O76" s="1">
        <v>40633</v>
      </c>
      <c r="P76" s="12">
        <v>7855121</v>
      </c>
    </row>
    <row r="77" ht="12.75">
      <c r="N77" s="29">
        <f t="shared" si="3"/>
        <v>6436333</v>
      </c>
    </row>
    <row r="78" ht="12.75">
      <c r="N78" s="29">
        <f t="shared" si="3"/>
        <v>6436333</v>
      </c>
    </row>
    <row r="79" spans="1:20" ht="12.75">
      <c r="A79" s="1">
        <v>40794</v>
      </c>
      <c r="C79" s="13">
        <v>183235</v>
      </c>
      <c r="K79" s="13">
        <f>SUM(C79:J79)</f>
        <v>183235</v>
      </c>
      <c r="M79" s="13">
        <f>C79+F79+G79</f>
        <v>183235</v>
      </c>
      <c r="N79" s="29">
        <f t="shared" si="3"/>
        <v>6619568</v>
      </c>
      <c r="O79" s="1">
        <v>40816</v>
      </c>
      <c r="P79" s="12">
        <v>8924120</v>
      </c>
      <c r="T79" s="13">
        <f>N79+I10+I17+I21+I28+I32+I36+I40+I54+I64+I66+H36+H64</f>
        <v>6961791</v>
      </c>
    </row>
    <row r="80" ht="12.75">
      <c r="N80" s="29">
        <f t="shared" si="3"/>
        <v>6619568</v>
      </c>
    </row>
    <row r="81" spans="1:16" ht="12.75">
      <c r="A81" s="1">
        <v>40883</v>
      </c>
      <c r="C81" s="13">
        <v>1614583</v>
      </c>
      <c r="F81" s="13">
        <v>-960856</v>
      </c>
      <c r="G81" s="13">
        <v>-516916</v>
      </c>
      <c r="I81" s="13">
        <v>90000</v>
      </c>
      <c r="K81" s="13">
        <f>SUM(C81:J81)</f>
        <v>226811</v>
      </c>
      <c r="M81" s="13">
        <f>C81+F81+G81</f>
        <v>136811</v>
      </c>
      <c r="N81" s="29">
        <f t="shared" si="3"/>
        <v>6756379</v>
      </c>
      <c r="O81" s="1">
        <v>40908</v>
      </c>
      <c r="P81" s="12">
        <v>9174277</v>
      </c>
    </row>
    <row r="82" spans="14:20" ht="12.75">
      <c r="N82" s="29">
        <f t="shared" si="3"/>
        <v>6756379</v>
      </c>
      <c r="T82" s="13">
        <f>N82+I10+I17+I21+I28+I32+I36+I40+I54+I64+I66+I81+H64+H36</f>
        <v>7188602</v>
      </c>
    </row>
    <row r="83" spans="1:14" ht="13.5" thickBot="1">
      <c r="A83" s="38" t="s">
        <v>37</v>
      </c>
      <c r="B83" s="43"/>
      <c r="N83" s="29">
        <f t="shared" si="3"/>
        <v>6756379</v>
      </c>
    </row>
    <row r="84" spans="1:16" ht="13.5" thickBot="1">
      <c r="A84" s="38" t="s">
        <v>38</v>
      </c>
      <c r="B84" s="43"/>
      <c r="C84" s="44">
        <f>C71+C79+C81</f>
        <v>10035566</v>
      </c>
      <c r="G84" s="24">
        <f>G71+F81+G81</f>
        <v>-3279187</v>
      </c>
      <c r="N84" s="23">
        <f t="shared" si="3"/>
        <v>6756379</v>
      </c>
      <c r="O84" s="47">
        <v>40999</v>
      </c>
      <c r="P84" s="12">
        <v>8788911</v>
      </c>
    </row>
    <row r="85" spans="1:14" ht="12.75">
      <c r="A85" s="38"/>
      <c r="B85" s="43"/>
      <c r="C85" s="59"/>
      <c r="N85" s="29"/>
    </row>
    <row r="86" spans="1:14" ht="12.75">
      <c r="A86" s="38" t="s">
        <v>39</v>
      </c>
      <c r="B86" s="43"/>
      <c r="C86" s="43"/>
      <c r="G86" s="32">
        <f>G74+G81</f>
        <v>-1553505</v>
      </c>
      <c r="N86" s="29"/>
    </row>
    <row r="87" spans="1:14" ht="12.75">
      <c r="A87"/>
      <c r="B87" s="43"/>
      <c r="C87" s="43"/>
      <c r="N87" s="29"/>
    </row>
    <row r="88" spans="1:14" ht="12.75">
      <c r="A88" s="38" t="s">
        <v>40</v>
      </c>
      <c r="B88" s="43"/>
      <c r="C88" s="43"/>
      <c r="G88" s="32">
        <f>C84+G86</f>
        <v>8482061</v>
      </c>
      <c r="N88" s="29"/>
    </row>
    <row r="89" ht="12.75">
      <c r="N89" s="29">
        <f>N83</f>
        <v>6756379</v>
      </c>
    </row>
    <row r="90" spans="1:20" ht="12.75">
      <c r="A90" s="1">
        <v>40990</v>
      </c>
      <c r="C90" s="13">
        <v>155272</v>
      </c>
      <c r="F90" s="13">
        <v>-493930</v>
      </c>
      <c r="G90" s="13">
        <v>-237286</v>
      </c>
      <c r="I90" s="13">
        <v>20272</v>
      </c>
      <c r="K90" s="13">
        <f>SUM(C90:J90)</f>
        <v>-555672</v>
      </c>
      <c r="M90" s="13">
        <f>C90+F90+G90</f>
        <v>-575944</v>
      </c>
      <c r="N90" s="29">
        <f aca="true" t="shared" si="4" ref="N90:N99">N89+M90</f>
        <v>6180435</v>
      </c>
      <c r="T90" s="13">
        <f>N90+I90+I81+I66+I64+H64+I54+I40+I36+H36+I32+I28+I21+I17+I10</f>
        <v>6632930</v>
      </c>
    </row>
    <row r="91" spans="1:16" ht="12.75">
      <c r="A91" s="1" t="s">
        <v>46</v>
      </c>
      <c r="N91" s="29">
        <f t="shared" si="4"/>
        <v>6180435</v>
      </c>
      <c r="O91" s="1">
        <v>41090</v>
      </c>
      <c r="P91" s="12">
        <v>8818431</v>
      </c>
    </row>
    <row r="92" ht="12.75">
      <c r="N92" s="29">
        <f t="shared" si="4"/>
        <v>6180435</v>
      </c>
    </row>
    <row r="93" spans="1:20" ht="12.75">
      <c r="A93" s="1">
        <v>41176</v>
      </c>
      <c r="C93" s="13">
        <v>387268</v>
      </c>
      <c r="F93" s="13">
        <v>-590652</v>
      </c>
      <c r="G93" s="13">
        <v>-94617</v>
      </c>
      <c r="I93" s="13">
        <v>35214</v>
      </c>
      <c r="K93" s="13">
        <f>SUM(C93:J93)</f>
        <v>-262787</v>
      </c>
      <c r="M93" s="13">
        <f>C93+F93+G93</f>
        <v>-298001</v>
      </c>
      <c r="N93" s="29">
        <f t="shared" si="4"/>
        <v>5882434</v>
      </c>
      <c r="O93" s="1">
        <v>41182</v>
      </c>
      <c r="P93" s="12">
        <v>8750573</v>
      </c>
      <c r="T93" s="13">
        <f>N93+I93+I90+I81+I66+I64+H64+I54+I40+I36+H36+I32+I28+I21+I17+I10</f>
        <v>6370143</v>
      </c>
    </row>
    <row r="94" ht="12.75">
      <c r="N94" s="29">
        <f t="shared" si="4"/>
        <v>5882434</v>
      </c>
    </row>
    <row r="95" spans="1:20" ht="12.75">
      <c r="A95" s="1">
        <v>41257</v>
      </c>
      <c r="C95" s="13">
        <v>170954</v>
      </c>
      <c r="F95" s="13">
        <v>-290295</v>
      </c>
      <c r="G95" s="13">
        <v>-58108</v>
      </c>
      <c r="I95" s="13">
        <v>16603</v>
      </c>
      <c r="K95" s="13">
        <f>SUM(C95:J95)</f>
        <v>-160846</v>
      </c>
      <c r="M95" s="13">
        <f>C95+F95+G95</f>
        <v>-177449</v>
      </c>
      <c r="N95" s="29">
        <f t="shared" si="4"/>
        <v>5704985</v>
      </c>
      <c r="O95" s="1">
        <v>41274</v>
      </c>
      <c r="P95" s="12">
        <v>8851970</v>
      </c>
      <c r="T95" s="13">
        <f>N95+I95+I93+I90+I81+I66+I64+H64+I54+I40+I36+H36+I32+I28+I21+I17+I10</f>
        <v>6209297</v>
      </c>
    </row>
    <row r="96" ht="12.75">
      <c r="N96" s="29">
        <f t="shared" si="4"/>
        <v>5704985</v>
      </c>
    </row>
    <row r="97" spans="1:20" ht="12.75">
      <c r="A97" s="1">
        <v>41327</v>
      </c>
      <c r="C97" s="13">
        <v>97077</v>
      </c>
      <c r="F97" s="13">
        <v>-557965</v>
      </c>
      <c r="G97" s="13">
        <v>-105112</v>
      </c>
      <c r="I97" s="13">
        <v>15678</v>
      </c>
      <c r="K97" s="13">
        <f>SUM(C97:J97)</f>
        <v>-550322</v>
      </c>
      <c r="M97" s="13">
        <f>C97+F97+G97</f>
        <v>-566000</v>
      </c>
      <c r="N97" s="29">
        <f t="shared" si="4"/>
        <v>5138985</v>
      </c>
      <c r="T97" s="13">
        <f>T95+M97+I97</f>
        <v>5658975</v>
      </c>
    </row>
    <row r="98" ht="12.75">
      <c r="N98" s="29">
        <f t="shared" si="4"/>
        <v>5138985</v>
      </c>
    </row>
    <row r="99" spans="1:16" ht="12.75">
      <c r="A99" s="38" t="s">
        <v>37</v>
      </c>
      <c r="B99" s="43"/>
      <c r="N99" s="24">
        <f t="shared" si="4"/>
        <v>5138985</v>
      </c>
      <c r="O99" s="47">
        <v>41364</v>
      </c>
      <c r="P99" s="12">
        <v>8007123.96</v>
      </c>
    </row>
    <row r="100" spans="1:7" ht="12.75">
      <c r="A100" s="38" t="s">
        <v>38</v>
      </c>
      <c r="B100" s="43"/>
      <c r="C100" s="44">
        <f>C97+C95+C93+C90+C84</f>
        <v>10846137</v>
      </c>
      <c r="G100" s="24">
        <f>F97+G97+F95+G95+F93+G93+F90+G90+G84</f>
        <v>-5707152</v>
      </c>
    </row>
    <row r="101" spans="1:3" ht="12.75">
      <c r="A101" s="38"/>
      <c r="B101" s="43"/>
      <c r="C101" s="59"/>
    </row>
    <row r="102" spans="1:7" ht="12.75">
      <c r="A102" s="38" t="s">
        <v>39</v>
      </c>
      <c r="B102" s="43"/>
      <c r="C102" s="43"/>
      <c r="G102" s="32">
        <f>G97+G95+G93+G90+G86</f>
        <v>-2048628</v>
      </c>
    </row>
    <row r="103" spans="1:3" ht="12.75">
      <c r="A103"/>
      <c r="B103" s="43"/>
      <c r="C103" s="43"/>
    </row>
    <row r="104" spans="1:7" ht="12.75">
      <c r="A104" s="38" t="s">
        <v>40</v>
      </c>
      <c r="B104" s="43"/>
      <c r="C104" s="43"/>
      <c r="G104" s="32">
        <f>C100+G102</f>
        <v>8797509</v>
      </c>
    </row>
    <row r="105" ht="12.75">
      <c r="N105" s="29">
        <f>N99</f>
        <v>5138985</v>
      </c>
    </row>
    <row r="106" spans="1:20" ht="12.75">
      <c r="A106" s="1">
        <v>41432</v>
      </c>
      <c r="C106" s="13">
        <v>162859</v>
      </c>
      <c r="F106" s="13">
        <v>-365804</v>
      </c>
      <c r="G106" s="13">
        <v>-112163</v>
      </c>
      <c r="I106" s="13">
        <v>14441</v>
      </c>
      <c r="K106" s="13">
        <f>SUM(C106:J106)</f>
        <v>-300667</v>
      </c>
      <c r="M106" s="13">
        <f>C106+F106+G106</f>
        <v>-315108</v>
      </c>
      <c r="N106" s="29">
        <f aca="true" t="shared" si="5" ref="N106:N148">N105+M106</f>
        <v>4823877</v>
      </c>
      <c r="O106" s="1">
        <v>41455</v>
      </c>
      <c r="P106" s="12">
        <v>8034426</v>
      </c>
      <c r="T106" s="13">
        <f>T97+I106+M106</f>
        <v>5358308</v>
      </c>
    </row>
    <row r="107" ht="12.75">
      <c r="N107" s="29">
        <f t="shared" si="5"/>
        <v>4823877</v>
      </c>
    </row>
    <row r="108" spans="1:20" ht="12.75">
      <c r="A108" s="1">
        <v>41481</v>
      </c>
      <c r="C108" s="13">
        <v>79471</v>
      </c>
      <c r="F108" s="13">
        <v>-437202</v>
      </c>
      <c r="G108" s="13">
        <v>-24269</v>
      </c>
      <c r="I108" s="13">
        <v>13853</v>
      </c>
      <c r="K108" s="13">
        <f aca="true" t="shared" si="6" ref="K108:K114">SUM(C108:J108)</f>
        <v>-368147</v>
      </c>
      <c r="M108" s="13">
        <f aca="true" t="shared" si="7" ref="M108:M114">C108+F108+G108</f>
        <v>-382000</v>
      </c>
      <c r="N108" s="29">
        <f t="shared" si="5"/>
        <v>4441877</v>
      </c>
      <c r="O108" s="1">
        <v>41547</v>
      </c>
      <c r="P108" s="12">
        <v>7975670</v>
      </c>
      <c r="T108" s="13">
        <f>T106+I108+M108</f>
        <v>4990161</v>
      </c>
    </row>
    <row r="109" ht="12.75">
      <c r="N109" s="29">
        <f t="shared" si="5"/>
        <v>4441877</v>
      </c>
    </row>
    <row r="110" spans="1:20" ht="12.75">
      <c r="A110" s="1">
        <v>41600</v>
      </c>
      <c r="C110" s="13">
        <v>273433</v>
      </c>
      <c r="F110" s="13">
        <v>-572604</v>
      </c>
      <c r="G110" s="13">
        <v>-64260</v>
      </c>
      <c r="I110" s="13">
        <v>13332</v>
      </c>
      <c r="K110" s="13">
        <f t="shared" si="6"/>
        <v>-350099</v>
      </c>
      <c r="M110" s="13">
        <f t="shared" si="7"/>
        <v>-363431</v>
      </c>
      <c r="N110" s="29">
        <f t="shared" si="5"/>
        <v>4078446</v>
      </c>
      <c r="T110" s="13">
        <f>T108+I110+M110</f>
        <v>4640062</v>
      </c>
    </row>
    <row r="111" ht="12.75">
      <c r="N111" s="29">
        <f t="shared" si="5"/>
        <v>4078446</v>
      </c>
    </row>
    <row r="112" spans="1:20" ht="12.75">
      <c r="A112" s="1">
        <v>41624</v>
      </c>
      <c r="F112" s="13">
        <v>-65822</v>
      </c>
      <c r="K112" s="13">
        <f t="shared" si="6"/>
        <v>-65822</v>
      </c>
      <c r="M112" s="13">
        <f t="shared" si="7"/>
        <v>-65822</v>
      </c>
      <c r="N112" s="29">
        <f t="shared" si="5"/>
        <v>4012624</v>
      </c>
      <c r="O112" s="1">
        <v>41639</v>
      </c>
      <c r="P112" s="12">
        <v>7717602</v>
      </c>
      <c r="T112" s="13">
        <f>T110+I112+M112</f>
        <v>4574240</v>
      </c>
    </row>
    <row r="113" ht="12.75">
      <c r="N113" s="29">
        <f t="shared" si="5"/>
        <v>4012624</v>
      </c>
    </row>
    <row r="114" spans="1:20" ht="12.75">
      <c r="A114" s="1">
        <v>41698</v>
      </c>
      <c r="C114" s="13">
        <v>153645</v>
      </c>
      <c r="F114" s="13">
        <v>-409165</v>
      </c>
      <c r="G114" s="13">
        <v>-20892</v>
      </c>
      <c r="I114" s="13">
        <v>12002</v>
      </c>
      <c r="K114" s="13">
        <f t="shared" si="6"/>
        <v>-264410</v>
      </c>
      <c r="M114" s="13">
        <f t="shared" si="7"/>
        <v>-276412</v>
      </c>
      <c r="N114" s="24">
        <f t="shared" si="5"/>
        <v>3736212</v>
      </c>
      <c r="O114" s="47">
        <v>41729</v>
      </c>
      <c r="T114" s="13">
        <f>T112+I114+M114</f>
        <v>4309830</v>
      </c>
    </row>
    <row r="115" ht="12.75">
      <c r="N115" s="29">
        <f t="shared" si="5"/>
        <v>3736212</v>
      </c>
    </row>
    <row r="116" spans="1:14" ht="12.75">
      <c r="A116" s="38" t="s">
        <v>37</v>
      </c>
      <c r="B116" s="43"/>
      <c r="N116" s="29">
        <f t="shared" si="5"/>
        <v>3736212</v>
      </c>
    </row>
    <row r="117" spans="1:14" ht="12.75">
      <c r="A117" s="38" t="s">
        <v>38</v>
      </c>
      <c r="B117" s="43"/>
      <c r="C117" s="44">
        <f>C100+C106+C108+C110+C114</f>
        <v>11515545</v>
      </c>
      <c r="G117" s="24">
        <f>F114+G114+F112+G112+F110+G110+F108+G108+F106+G106+G100</f>
        <v>-7779333</v>
      </c>
      <c r="N117" s="29">
        <f t="shared" si="5"/>
        <v>3736212</v>
      </c>
    </row>
    <row r="118" spans="1:14" ht="12.75">
      <c r="A118" s="38"/>
      <c r="B118" s="43"/>
      <c r="C118" s="59"/>
      <c r="N118" s="29">
        <f t="shared" si="5"/>
        <v>3736212</v>
      </c>
    </row>
    <row r="119" spans="1:14" ht="12.75">
      <c r="A119" s="38" t="s">
        <v>39</v>
      </c>
      <c r="B119" s="43"/>
      <c r="C119" s="43"/>
      <c r="G119" s="32">
        <f>G114+G110+G108+G106+G102</f>
        <v>-2270212</v>
      </c>
      <c r="N119" s="29">
        <f t="shared" si="5"/>
        <v>3736212</v>
      </c>
    </row>
    <row r="120" spans="1:14" ht="12.75">
      <c r="A120"/>
      <c r="B120" s="43"/>
      <c r="C120" s="43"/>
      <c r="N120" s="29">
        <f t="shared" si="5"/>
        <v>3736212</v>
      </c>
    </row>
    <row r="121" spans="1:14" ht="12.75">
      <c r="A121" s="38" t="s">
        <v>40</v>
      </c>
      <c r="B121" s="43"/>
      <c r="C121" s="43"/>
      <c r="G121" s="32">
        <f>C117+G119</f>
        <v>9245333</v>
      </c>
      <c r="N121" s="29">
        <f t="shared" si="5"/>
        <v>3736212</v>
      </c>
    </row>
    <row r="122" spans="1:16" ht="12.75">
      <c r="A122" s="38"/>
      <c r="B122" s="43"/>
      <c r="C122" s="43"/>
      <c r="G122" s="40"/>
      <c r="N122" s="29">
        <f t="shared" si="5"/>
        <v>3736212</v>
      </c>
      <c r="O122" s="1">
        <v>41820</v>
      </c>
      <c r="P122" s="12">
        <v>7788404</v>
      </c>
    </row>
    <row r="123" spans="1:14" ht="12.75">
      <c r="A123" s="38"/>
      <c r="B123" s="43"/>
      <c r="C123" s="43"/>
      <c r="G123" s="40"/>
      <c r="N123" s="29">
        <f t="shared" si="5"/>
        <v>3736212</v>
      </c>
    </row>
    <row r="124" spans="1:20" ht="12.75">
      <c r="A124" s="51">
        <v>41849</v>
      </c>
      <c r="B124" s="43"/>
      <c r="C124" s="43">
        <v>112000</v>
      </c>
      <c r="F124" s="13">
        <v>-605311</v>
      </c>
      <c r="G124" s="40">
        <v>-6504</v>
      </c>
      <c r="I124" s="13">
        <v>11640</v>
      </c>
      <c r="K124" s="13">
        <f>SUM(C124:J124)</f>
        <v>-488175</v>
      </c>
      <c r="M124" s="13">
        <f>C124+F124+G124</f>
        <v>-499815</v>
      </c>
      <c r="N124" s="29">
        <f t="shared" si="5"/>
        <v>3236397</v>
      </c>
      <c r="O124" s="1">
        <v>41912</v>
      </c>
      <c r="P124" s="12">
        <v>7451767</v>
      </c>
      <c r="T124" s="13">
        <f>T114+I124+M124</f>
        <v>3821655</v>
      </c>
    </row>
    <row r="125" spans="1:14" ht="13.5" thickBot="1">
      <c r="A125" s="38"/>
      <c r="B125" s="43"/>
      <c r="C125" s="43"/>
      <c r="G125" s="40"/>
      <c r="N125" s="29">
        <f t="shared" si="5"/>
        <v>3236397</v>
      </c>
    </row>
    <row r="126" spans="1:20" ht="13.5" thickBot="1">
      <c r="A126" s="51">
        <v>41991</v>
      </c>
      <c r="B126" s="43"/>
      <c r="C126" s="43">
        <v>195851</v>
      </c>
      <c r="F126" s="13">
        <v>-1150154</v>
      </c>
      <c r="G126" s="40">
        <v>16803</v>
      </c>
      <c r="I126" s="13">
        <v>22293</v>
      </c>
      <c r="K126" s="13">
        <f>SUM(C126:J126)</f>
        <v>-915207</v>
      </c>
      <c r="M126" s="13">
        <f>C126+F126+G126</f>
        <v>-937500</v>
      </c>
      <c r="N126" s="23">
        <f t="shared" si="5"/>
        <v>2298897</v>
      </c>
      <c r="O126" s="1">
        <v>42004</v>
      </c>
      <c r="P126" s="12">
        <v>6402769</v>
      </c>
      <c r="T126" s="66">
        <f>T124+I126+M126</f>
        <v>2906448</v>
      </c>
    </row>
    <row r="127" spans="1:15" ht="12.75">
      <c r="A127" s="38"/>
      <c r="B127" s="43"/>
      <c r="C127" s="43"/>
      <c r="G127" s="40"/>
      <c r="N127" s="29">
        <f t="shared" si="5"/>
        <v>2298897</v>
      </c>
      <c r="O127" s="47">
        <v>42094</v>
      </c>
    </row>
    <row r="128" spans="1:14" ht="12.75">
      <c r="A128" s="38" t="s">
        <v>37</v>
      </c>
      <c r="B128" s="43"/>
      <c r="N128" s="29">
        <f t="shared" si="5"/>
        <v>2298897</v>
      </c>
    </row>
    <row r="129" spans="1:14" ht="12.75">
      <c r="A129" s="38" t="s">
        <v>38</v>
      </c>
      <c r="B129" s="43"/>
      <c r="C129" s="44">
        <f>C117+C124+C126</f>
        <v>11823396</v>
      </c>
      <c r="G129" s="24">
        <f>F124+G124+F126+G126+G117</f>
        <v>-9524499</v>
      </c>
      <c r="N129" s="29">
        <f t="shared" si="5"/>
        <v>2298897</v>
      </c>
    </row>
    <row r="130" spans="1:14" ht="12.75">
      <c r="A130" s="38"/>
      <c r="B130" s="43"/>
      <c r="C130" s="59"/>
      <c r="N130" s="29">
        <f t="shared" si="5"/>
        <v>2298897</v>
      </c>
    </row>
    <row r="131" spans="1:14" ht="12.75">
      <c r="A131" s="38" t="s">
        <v>39</v>
      </c>
      <c r="B131" s="43"/>
      <c r="C131" s="43"/>
      <c r="G131" s="32">
        <f>G119+G124+G126</f>
        <v>-2259913</v>
      </c>
      <c r="N131" s="29">
        <f t="shared" si="5"/>
        <v>2298897</v>
      </c>
    </row>
    <row r="132" spans="1:14" ht="12.75">
      <c r="A132"/>
      <c r="B132" s="43"/>
      <c r="C132" s="43"/>
      <c r="N132" s="29">
        <f t="shared" si="5"/>
        <v>2298897</v>
      </c>
    </row>
    <row r="133" spans="1:14" ht="12.75">
      <c r="A133" s="38" t="s">
        <v>40</v>
      </c>
      <c r="B133" s="43"/>
      <c r="C133" s="43"/>
      <c r="G133" s="65">
        <f>C129+G131</f>
        <v>9563483</v>
      </c>
      <c r="N133" s="29">
        <f t="shared" si="5"/>
        <v>2298897</v>
      </c>
    </row>
    <row r="134" spans="1:14" ht="12.75">
      <c r="A134" s="38"/>
      <c r="B134" s="43"/>
      <c r="C134" s="43"/>
      <c r="G134" s="40"/>
      <c r="N134" s="29">
        <f t="shared" si="5"/>
        <v>2298897</v>
      </c>
    </row>
    <row r="135" ht="12.75">
      <c r="N135" s="29">
        <f t="shared" si="5"/>
        <v>2298897</v>
      </c>
    </row>
    <row r="136" spans="1:20" ht="12.75">
      <c r="A136" s="51">
        <v>42158</v>
      </c>
      <c r="B136" s="43"/>
      <c r="C136" s="43"/>
      <c r="F136" s="13">
        <v>-509807</v>
      </c>
      <c r="G136" s="40">
        <v>0</v>
      </c>
      <c r="I136" s="13">
        <v>18147</v>
      </c>
      <c r="K136" s="13">
        <f>SUM(C136:J136)</f>
        <v>-491660</v>
      </c>
      <c r="M136" s="13">
        <f>C136+F136+G136</f>
        <v>-509807</v>
      </c>
      <c r="N136" s="29">
        <f t="shared" si="5"/>
        <v>1789090</v>
      </c>
      <c r="O136" s="1">
        <v>42185</v>
      </c>
      <c r="P136" s="12">
        <v>6014765</v>
      </c>
      <c r="T136" s="13">
        <f>T126+I136+M136</f>
        <v>2414788</v>
      </c>
    </row>
    <row r="137" ht="12.75">
      <c r="N137" s="29">
        <f t="shared" si="5"/>
        <v>1789090</v>
      </c>
    </row>
    <row r="138" spans="1:20" ht="12.75">
      <c r="A138" s="51">
        <v>42244</v>
      </c>
      <c r="B138" s="43"/>
      <c r="C138" s="43">
        <v>18000</v>
      </c>
      <c r="F138" s="13">
        <v>-543037</v>
      </c>
      <c r="G138" s="40">
        <v>-9236</v>
      </c>
      <c r="I138" s="13">
        <v>8207</v>
      </c>
      <c r="K138" s="13">
        <f>SUM(C138:J138)</f>
        <v>-526066</v>
      </c>
      <c r="M138" s="13">
        <f>C138+F138+G138</f>
        <v>-534273</v>
      </c>
      <c r="N138" s="29">
        <f t="shared" si="5"/>
        <v>1254817</v>
      </c>
      <c r="O138" s="1">
        <v>42277</v>
      </c>
      <c r="P138" s="12">
        <v>5994421</v>
      </c>
      <c r="T138" s="13">
        <f>T136+I138+M138</f>
        <v>1888722</v>
      </c>
    </row>
    <row r="139" spans="14:16" ht="12.75">
      <c r="N139" s="29">
        <f t="shared" si="5"/>
        <v>1254817</v>
      </c>
      <c r="O139" s="1">
        <v>42369</v>
      </c>
      <c r="P139" s="12">
        <v>5724347</v>
      </c>
    </row>
    <row r="140" spans="1:20" ht="12.75">
      <c r="A140" s="1">
        <v>42410</v>
      </c>
      <c r="C140" s="13">
        <v>51806</v>
      </c>
      <c r="F140" s="13">
        <v>-326492</v>
      </c>
      <c r="I140" s="13">
        <v>7812</v>
      </c>
      <c r="K140" s="13">
        <f>SUM(C140:J140)</f>
        <v>-266874</v>
      </c>
      <c r="M140" s="13">
        <f>C140+F140+G140</f>
        <v>-274686</v>
      </c>
      <c r="N140" s="29">
        <f t="shared" si="5"/>
        <v>980131</v>
      </c>
      <c r="T140" s="13">
        <f>T138+I140+M140</f>
        <v>1621848</v>
      </c>
    </row>
    <row r="141" spans="14:18" ht="12.75">
      <c r="N141" s="77">
        <f t="shared" si="5"/>
        <v>980131</v>
      </c>
      <c r="R141" s="13"/>
    </row>
    <row r="142" spans="1:19" ht="12.75">
      <c r="A142" s="1">
        <v>42551</v>
      </c>
      <c r="F142" s="13">
        <v>-160053</v>
      </c>
      <c r="G142" s="13">
        <v>-23396</v>
      </c>
      <c r="I142" s="13">
        <v>14838</v>
      </c>
      <c r="K142" s="13">
        <f>SUM(C142:J142)</f>
        <v>-168611</v>
      </c>
      <c r="M142" s="13">
        <f>C142+F142+G142</f>
        <v>-183449</v>
      </c>
      <c r="N142" s="80">
        <f t="shared" si="5"/>
        <v>796682</v>
      </c>
      <c r="O142" s="81"/>
      <c r="R142" s="78"/>
      <c r="S142" s="79"/>
    </row>
    <row r="143" spans="14:19" ht="12.75">
      <c r="N143" s="80">
        <f t="shared" si="5"/>
        <v>796682</v>
      </c>
      <c r="O143" s="81"/>
      <c r="R143" s="78" t="s">
        <v>53</v>
      </c>
      <c r="S143" s="79">
        <v>796682</v>
      </c>
    </row>
    <row r="144" spans="1:19" ht="12.75">
      <c r="A144" s="1">
        <v>42614</v>
      </c>
      <c r="C144" s="13">
        <v>2218</v>
      </c>
      <c r="F144" s="13">
        <v>-102958</v>
      </c>
      <c r="G144" s="13">
        <v>-2867</v>
      </c>
      <c r="I144" s="13">
        <v>7354</v>
      </c>
      <c r="K144" s="13">
        <f>SUM(C144:J144)</f>
        <v>-96253</v>
      </c>
      <c r="M144" s="13">
        <f>C144+F144+G144</f>
        <v>-103607</v>
      </c>
      <c r="N144" s="80">
        <f t="shared" si="5"/>
        <v>693075</v>
      </c>
      <c r="O144" s="81"/>
      <c r="S144" s="79" t="s">
        <v>55</v>
      </c>
    </row>
    <row r="145" ht="12.75">
      <c r="N145" s="80">
        <f t="shared" si="5"/>
        <v>693075</v>
      </c>
    </row>
    <row r="146" spans="1:16" ht="12.75">
      <c r="A146" s="1">
        <v>42668</v>
      </c>
      <c r="C146" s="13">
        <v>2834</v>
      </c>
      <c r="F146" s="13">
        <v>-411169</v>
      </c>
      <c r="G146" s="13">
        <v>-4962</v>
      </c>
      <c r="I146" s="13">
        <v>0</v>
      </c>
      <c r="K146" s="13">
        <f>SUM(C146:J146)</f>
        <v>-413297</v>
      </c>
      <c r="M146" s="13">
        <f>C146+F146+G146</f>
        <v>-413297</v>
      </c>
      <c r="N146" s="80">
        <f t="shared" si="5"/>
        <v>279778</v>
      </c>
      <c r="O146" s="1">
        <v>42735</v>
      </c>
      <c r="P146" s="12">
        <v>4619828</v>
      </c>
    </row>
    <row r="147" spans="14:19" ht="12.75">
      <c r="N147" s="80">
        <f t="shared" si="5"/>
        <v>279778</v>
      </c>
      <c r="S147" s="13">
        <v>693075</v>
      </c>
    </row>
    <row r="148" spans="1:19" ht="12.75">
      <c r="A148" s="1">
        <v>42814</v>
      </c>
      <c r="C148" s="13">
        <v>95723</v>
      </c>
      <c r="F148" s="13">
        <v>-292590</v>
      </c>
      <c r="G148" s="13">
        <v>-30893</v>
      </c>
      <c r="I148" s="13">
        <v>13651</v>
      </c>
      <c r="K148" s="13">
        <f>SUM(C148:J148)</f>
        <v>-214109</v>
      </c>
      <c r="M148" s="13">
        <f>C148+F148+G148</f>
        <v>-227760</v>
      </c>
      <c r="N148" s="80">
        <f t="shared" si="5"/>
        <v>52018</v>
      </c>
      <c r="S148" s="13">
        <f>S143-S147</f>
        <v>103607</v>
      </c>
    </row>
    <row r="149" ht="12.75">
      <c r="S149" s="13">
        <v>279778</v>
      </c>
    </row>
    <row r="150" ht="12.75">
      <c r="S150" s="13">
        <f>S147-S149</f>
        <v>413297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1"/>
  <sheetViews>
    <sheetView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C20" sqref="C20"/>
    </sheetView>
  </sheetViews>
  <sheetFormatPr defaultColWidth="9.140625" defaultRowHeight="12.75"/>
  <cols>
    <col min="1" max="1" width="11.140625" style="0" bestFit="1" customWidth="1"/>
    <col min="2" max="2" width="10.140625" style="0" bestFit="1" customWidth="1"/>
    <col min="3" max="3" width="14.57421875" style="2" customWidth="1"/>
    <col min="4" max="4" width="9.28125" style="0" bestFit="1" customWidth="1"/>
    <col min="6" max="6" width="12.57421875" style="2" customWidth="1"/>
    <col min="7" max="7" width="14.140625" style="2" customWidth="1"/>
    <col min="8" max="8" width="14.00390625" style="0" customWidth="1"/>
    <col min="9" max="9" width="14.140625" style="2" customWidth="1"/>
    <col min="10" max="10" width="11.140625" style="2" customWidth="1"/>
    <col min="11" max="11" width="13.140625" style="0" customWidth="1"/>
    <col min="13" max="13" width="13.7109375" style="0" customWidth="1"/>
    <col min="14" max="14" width="16.28125" style="0" customWidth="1"/>
    <col min="15" max="15" width="14.28125" style="0" customWidth="1"/>
    <col min="16" max="16" width="12.421875" style="13" customWidth="1"/>
    <col min="17" max="17" width="11.28125" style="0" bestFit="1" customWidth="1"/>
    <col min="18" max="18" width="16.421875" style="19" customWidth="1"/>
    <col min="19" max="19" width="6.8515625" style="0" customWidth="1"/>
    <col min="20" max="20" width="13.57421875" style="53" customWidth="1"/>
    <col min="22" max="22" width="11.00390625" style="0" customWidth="1"/>
    <col min="23" max="23" width="14.8515625" style="0" customWidth="1"/>
  </cols>
  <sheetData>
    <row r="1" ht="12.75">
      <c r="A1" t="s">
        <v>31</v>
      </c>
    </row>
    <row r="3" spans="1:18" ht="12.75">
      <c r="A3" t="s">
        <v>33</v>
      </c>
      <c r="P3" s="26" t="s">
        <v>25</v>
      </c>
      <c r="R3" s="4" t="s">
        <v>25</v>
      </c>
    </row>
    <row r="4" spans="16:20" ht="15">
      <c r="P4" s="26" t="s">
        <v>26</v>
      </c>
      <c r="R4" s="20" t="s">
        <v>29</v>
      </c>
      <c r="T4" s="54" t="s">
        <v>43</v>
      </c>
    </row>
    <row r="5" spans="1:20" ht="15">
      <c r="A5" s="4" t="s">
        <v>0</v>
      </c>
      <c r="C5" s="3" t="s">
        <v>2</v>
      </c>
      <c r="F5" s="7" t="s">
        <v>3</v>
      </c>
      <c r="G5" s="7" t="s">
        <v>4</v>
      </c>
      <c r="H5" s="4" t="s">
        <v>5</v>
      </c>
      <c r="I5" s="7" t="s">
        <v>7</v>
      </c>
      <c r="J5" s="7" t="s">
        <v>9</v>
      </c>
      <c r="K5" s="7" t="s">
        <v>10</v>
      </c>
      <c r="M5" s="7" t="s">
        <v>23</v>
      </c>
      <c r="N5" s="7" t="s">
        <v>24</v>
      </c>
      <c r="P5" s="25" t="s">
        <v>27</v>
      </c>
      <c r="R5" s="20" t="s">
        <v>30</v>
      </c>
      <c r="T5" s="54" t="s">
        <v>44</v>
      </c>
    </row>
    <row r="6" spans="1:11" ht="12.75">
      <c r="A6" s="4" t="s">
        <v>1</v>
      </c>
      <c r="G6" s="7" t="s">
        <v>3</v>
      </c>
      <c r="H6" s="4" t="s">
        <v>6</v>
      </c>
      <c r="I6" s="7" t="s">
        <v>8</v>
      </c>
      <c r="J6" s="7" t="s">
        <v>7</v>
      </c>
      <c r="K6" s="7" t="s">
        <v>16</v>
      </c>
    </row>
    <row r="7" spans="1:11" ht="12.75">
      <c r="A7" s="4"/>
      <c r="G7" s="7"/>
      <c r="H7" s="4"/>
      <c r="I7" s="7"/>
      <c r="J7" s="7" t="s">
        <v>8</v>
      </c>
      <c r="K7" s="4" t="s">
        <v>11</v>
      </c>
    </row>
    <row r="8" spans="1:9" ht="12.75">
      <c r="A8" s="4"/>
      <c r="G8" s="7"/>
      <c r="H8" s="4"/>
      <c r="I8" s="7"/>
    </row>
    <row r="10" spans="1:18" ht="12.75">
      <c r="A10" s="1">
        <v>39465</v>
      </c>
      <c r="B10" t="s">
        <v>32</v>
      </c>
      <c r="C10" s="2">
        <v>1500000</v>
      </c>
      <c r="D10" s="5">
        <v>0.05</v>
      </c>
      <c r="I10" s="2">
        <v>89385</v>
      </c>
      <c r="K10" s="6">
        <f>SUM(C10:J10)</f>
        <v>1589385.05</v>
      </c>
      <c r="M10" s="6">
        <f>C10+F10+G10</f>
        <v>1500000</v>
      </c>
      <c r="N10" s="6">
        <f>M10</f>
        <v>1500000</v>
      </c>
      <c r="R10" s="19">
        <v>1500000</v>
      </c>
    </row>
    <row r="11" spans="1:14" ht="12.75">
      <c r="A11" s="1"/>
      <c r="K11" s="6"/>
      <c r="N11" s="6">
        <f aca="true" t="shared" si="0" ref="N11:N16">N10+M11</f>
        <v>1500000</v>
      </c>
    </row>
    <row r="12" spans="1:14" ht="12.75">
      <c r="A12" s="1"/>
      <c r="K12" s="6">
        <f>SUM(C12:J12)</f>
        <v>0</v>
      </c>
      <c r="N12" s="6">
        <f t="shared" si="0"/>
        <v>1500000</v>
      </c>
    </row>
    <row r="13" spans="1:14" ht="13.5" thickBot="1">
      <c r="A13" s="1"/>
      <c r="K13" s="6">
        <f>SUM(C13:J13)</f>
        <v>0</v>
      </c>
      <c r="N13" s="6">
        <f t="shared" si="0"/>
        <v>1500000</v>
      </c>
    </row>
    <row r="14" spans="3:16" ht="13.5" thickBot="1">
      <c r="C14" s="14">
        <f>SUM(C10:C13)</f>
        <v>1500000</v>
      </c>
      <c r="G14" s="14">
        <f>SUM(G10:G12)</f>
        <v>0</v>
      </c>
      <c r="N14" s="10">
        <f t="shared" si="0"/>
        <v>1500000</v>
      </c>
      <c r="O14" s="47">
        <v>39538</v>
      </c>
      <c r="P14" s="49">
        <v>1323068</v>
      </c>
    </row>
    <row r="15" spans="14:17" ht="12.75">
      <c r="N15" s="6">
        <f t="shared" si="0"/>
        <v>1500000</v>
      </c>
      <c r="Q15" s="6"/>
    </row>
    <row r="16" spans="1:18" ht="12.75">
      <c r="A16" s="1">
        <v>39591</v>
      </c>
      <c r="B16" t="s">
        <v>32</v>
      </c>
      <c r="C16" s="2">
        <v>900000</v>
      </c>
      <c r="D16" s="5">
        <v>0.03</v>
      </c>
      <c r="I16" s="2">
        <v>74590</v>
      </c>
      <c r="K16" s="6">
        <f>SUM(C16:J16)</f>
        <v>974590.03</v>
      </c>
      <c r="M16" s="6">
        <f>C16+F16+G16</f>
        <v>900000</v>
      </c>
      <c r="N16" s="6">
        <f t="shared" si="0"/>
        <v>2400000</v>
      </c>
      <c r="R16" s="19">
        <v>2400000</v>
      </c>
    </row>
    <row r="17" spans="11:14" ht="12.75">
      <c r="K17" s="6"/>
      <c r="M17" s="6"/>
      <c r="N17" s="6">
        <f aca="true" t="shared" si="1" ref="N17:N30">N16+M17</f>
        <v>2400000</v>
      </c>
    </row>
    <row r="18" spans="1:15" ht="12.75">
      <c r="A18" s="1">
        <v>39769</v>
      </c>
      <c r="B18" t="s">
        <v>32</v>
      </c>
      <c r="C18" s="2">
        <v>2128676</v>
      </c>
      <c r="D18" s="33">
        <v>0.071</v>
      </c>
      <c r="I18" s="2">
        <v>150820</v>
      </c>
      <c r="K18" s="6">
        <f>SUM(C18:J18)</f>
        <v>2279496.071</v>
      </c>
      <c r="M18" s="6">
        <f>C18+F18+G18</f>
        <v>2128676</v>
      </c>
      <c r="N18" s="6">
        <f t="shared" si="1"/>
        <v>4528676</v>
      </c>
      <c r="O18" s="1"/>
    </row>
    <row r="19" spans="8:18" ht="12.75">
      <c r="H19" s="2"/>
      <c r="K19" s="6"/>
      <c r="N19" s="6">
        <f t="shared" si="1"/>
        <v>4528676</v>
      </c>
      <c r="R19" s="19">
        <v>4528676</v>
      </c>
    </row>
    <row r="20" spans="3:16" ht="12.75">
      <c r="C20" s="14">
        <f>C14+C16+C18</f>
        <v>4528676</v>
      </c>
      <c r="K20" s="6"/>
      <c r="N20" s="34">
        <f t="shared" si="1"/>
        <v>4528676</v>
      </c>
      <c r="O20" s="47">
        <v>39903</v>
      </c>
      <c r="P20" s="49">
        <v>4175807</v>
      </c>
    </row>
    <row r="21" spans="11:14" ht="12.75">
      <c r="K21" s="6"/>
      <c r="N21" s="6">
        <f t="shared" si="1"/>
        <v>4528676</v>
      </c>
    </row>
    <row r="22" spans="1:18" ht="12.75">
      <c r="A22" s="1">
        <v>39926</v>
      </c>
      <c r="B22" t="s">
        <v>32</v>
      </c>
      <c r="C22" s="2">
        <v>1012216</v>
      </c>
      <c r="D22" s="33">
        <v>0.0337</v>
      </c>
      <c r="I22" s="2">
        <v>148768</v>
      </c>
      <c r="K22" s="6">
        <f>SUM(C22:J22)</f>
        <v>1160984.0337</v>
      </c>
      <c r="M22" s="6">
        <f>C22+F22+G22</f>
        <v>1012216</v>
      </c>
      <c r="N22" s="6">
        <f t="shared" si="1"/>
        <v>5540892</v>
      </c>
      <c r="R22" s="19">
        <v>5540892</v>
      </c>
    </row>
    <row r="23" spans="11:14" ht="12.75">
      <c r="K23" s="6"/>
      <c r="M23" s="6"/>
      <c r="N23" s="6">
        <f t="shared" si="1"/>
        <v>5540892</v>
      </c>
    </row>
    <row r="24" spans="1:14" ht="12.75">
      <c r="A24" s="1">
        <v>40053</v>
      </c>
      <c r="B24" t="s">
        <v>32</v>
      </c>
      <c r="C24" s="2">
        <v>1140709</v>
      </c>
      <c r="D24" s="33">
        <v>0.038</v>
      </c>
      <c r="H24">
        <v>-28932</v>
      </c>
      <c r="I24" s="2">
        <v>75616</v>
      </c>
      <c r="K24" s="6">
        <f>SUM(C24:J24)</f>
        <v>1187393.038</v>
      </c>
      <c r="M24" s="6">
        <f>C24+F24+G24</f>
        <v>1140709</v>
      </c>
      <c r="N24" s="6">
        <f t="shared" si="1"/>
        <v>6681601</v>
      </c>
    </row>
    <row r="25" spans="11:14" ht="12.75">
      <c r="K25" s="6"/>
      <c r="M25" s="6">
        <f>C25+F25+G25</f>
        <v>0</v>
      </c>
      <c r="N25" s="6">
        <f t="shared" si="1"/>
        <v>6681601</v>
      </c>
    </row>
    <row r="26" spans="1:14" ht="12.75">
      <c r="A26" s="1">
        <v>40140</v>
      </c>
      <c r="B26" t="s">
        <v>32</v>
      </c>
      <c r="C26" s="2">
        <v>655580</v>
      </c>
      <c r="D26" s="33">
        <v>0.0219</v>
      </c>
      <c r="I26" s="2">
        <v>75616</v>
      </c>
      <c r="K26" s="6">
        <f>SUM(C26:J26)</f>
        <v>731196.0219</v>
      </c>
      <c r="L26" s="6"/>
      <c r="M26" s="6">
        <f>C26+F26+G26</f>
        <v>655580</v>
      </c>
      <c r="N26" s="6">
        <f t="shared" si="1"/>
        <v>7337181</v>
      </c>
    </row>
    <row r="27" ht="12.75">
      <c r="N27" s="6">
        <f t="shared" si="1"/>
        <v>7337181</v>
      </c>
    </row>
    <row r="28" spans="1:14" ht="12.75">
      <c r="A28" s="1">
        <v>40247</v>
      </c>
      <c r="B28" t="s">
        <v>32</v>
      </c>
      <c r="C28" s="2">
        <v>980748</v>
      </c>
      <c r="D28" s="33">
        <v>0.0327</v>
      </c>
      <c r="I28" s="2">
        <v>73973</v>
      </c>
      <c r="K28" s="6">
        <f>SUM(C28:J28)</f>
        <v>1054721.0326999999</v>
      </c>
      <c r="M28" s="6">
        <f>C28+F28+G28</f>
        <v>980748</v>
      </c>
      <c r="N28" s="6">
        <f t="shared" si="1"/>
        <v>8317929</v>
      </c>
    </row>
    <row r="29" spans="1:14" ht="12.75">
      <c r="A29" s="1"/>
      <c r="D29" s="33"/>
      <c r="K29" s="6"/>
      <c r="M29" s="6"/>
      <c r="N29" s="6">
        <f t="shared" si="1"/>
        <v>8317929</v>
      </c>
    </row>
    <row r="30" spans="1:16" ht="12.75">
      <c r="A30" s="1"/>
      <c r="C30" s="14">
        <f>C22+C24+C26+C28</f>
        <v>3789253</v>
      </c>
      <c r="D30" s="33"/>
      <c r="K30" s="6"/>
      <c r="M30" s="6"/>
      <c r="N30" s="34">
        <f t="shared" si="1"/>
        <v>8317929</v>
      </c>
      <c r="O30" s="47">
        <v>40268</v>
      </c>
      <c r="P30" s="49">
        <v>9610386</v>
      </c>
    </row>
    <row r="31" spans="1:14" ht="12.75">
      <c r="A31" s="38" t="s">
        <v>37</v>
      </c>
      <c r="K31" s="6"/>
      <c r="M31" s="6"/>
      <c r="N31" s="6"/>
    </row>
    <row r="32" spans="1:14" ht="12.75">
      <c r="A32" s="38" t="s">
        <v>38</v>
      </c>
      <c r="C32" s="14">
        <f>C20+C30</f>
        <v>8317929</v>
      </c>
      <c r="K32" s="6"/>
      <c r="M32" s="6"/>
      <c r="N32" s="6"/>
    </row>
    <row r="33" spans="1:14" ht="12.75">
      <c r="A33" s="38" t="s">
        <v>39</v>
      </c>
      <c r="G33" s="14">
        <f>G20+G25+G27</f>
        <v>0</v>
      </c>
      <c r="I33" s="46"/>
      <c r="K33" s="6"/>
      <c r="M33" s="6"/>
      <c r="N33" s="6"/>
    </row>
    <row r="34" spans="11:14" ht="12.75">
      <c r="K34" s="6"/>
      <c r="M34" s="6"/>
      <c r="N34" s="6"/>
    </row>
    <row r="35" spans="1:14" ht="12.75">
      <c r="A35" s="38" t="s">
        <v>40</v>
      </c>
      <c r="G35" s="14">
        <f>C32+G33</f>
        <v>8317929</v>
      </c>
      <c r="K35" s="6"/>
      <c r="M35" s="6"/>
      <c r="N35" s="6"/>
    </row>
    <row r="36" spans="11:16" ht="12.75">
      <c r="K36" s="6"/>
      <c r="M36" s="6"/>
      <c r="N36" s="57">
        <f>N28+M36</f>
        <v>8317929</v>
      </c>
      <c r="O36" s="1">
        <v>40359</v>
      </c>
      <c r="P36" s="13">
        <v>11822087</v>
      </c>
    </row>
    <row r="37" spans="1:18" ht="12.75">
      <c r="A37" s="1">
        <v>40326</v>
      </c>
      <c r="B37" t="s">
        <v>32</v>
      </c>
      <c r="C37" s="2">
        <v>1992963</v>
      </c>
      <c r="D37" s="33">
        <v>0.0664</v>
      </c>
      <c r="I37" s="2">
        <v>74795</v>
      </c>
      <c r="K37" s="6">
        <f>SUM(C37:J37)</f>
        <v>2067758.0664</v>
      </c>
      <c r="M37" s="6">
        <f>C37+F37+G37</f>
        <v>1992963</v>
      </c>
      <c r="N37" s="6">
        <f>N36+M37</f>
        <v>10310892</v>
      </c>
      <c r="O37" s="1">
        <v>40451</v>
      </c>
      <c r="P37" s="13">
        <v>12444016</v>
      </c>
      <c r="R37" s="19">
        <v>10310892</v>
      </c>
    </row>
    <row r="38" spans="1:15" ht="12.75">
      <c r="A38" s="1"/>
      <c r="D38" s="33"/>
      <c r="K38" s="6"/>
      <c r="M38" s="6"/>
      <c r="N38" s="6">
        <f>N37+M38</f>
        <v>10310892</v>
      </c>
      <c r="O38" s="1"/>
    </row>
    <row r="39" spans="1:15" ht="12.75">
      <c r="A39" s="1">
        <v>40469</v>
      </c>
      <c r="B39" t="s">
        <v>32</v>
      </c>
      <c r="C39" s="2">
        <v>1180044</v>
      </c>
      <c r="D39" s="33">
        <v>0.0393</v>
      </c>
      <c r="I39" s="2">
        <v>151232</v>
      </c>
      <c r="K39" s="6">
        <f>SUM(C39:J39)</f>
        <v>1331276.0393</v>
      </c>
      <c r="M39" s="6">
        <f>C39+F39+G39</f>
        <v>1180044</v>
      </c>
      <c r="N39" s="6">
        <f>N38+M39</f>
        <v>11490936</v>
      </c>
      <c r="O39" s="1"/>
    </row>
    <row r="40" spans="11:16" ht="12.75">
      <c r="K40" s="6"/>
      <c r="M40" s="6"/>
      <c r="N40" s="6">
        <f>N39+M40</f>
        <v>11490936</v>
      </c>
      <c r="O40" s="1">
        <v>40543</v>
      </c>
      <c r="P40" s="13">
        <v>13694532</v>
      </c>
    </row>
    <row r="41" spans="1:14" ht="12.75">
      <c r="A41" s="1">
        <v>40557</v>
      </c>
      <c r="B41" t="s">
        <v>32</v>
      </c>
      <c r="C41" s="2">
        <v>2071633</v>
      </c>
      <c r="D41" s="33">
        <v>0.0691</v>
      </c>
      <c r="I41" s="2">
        <v>73973</v>
      </c>
      <c r="K41" s="6">
        <f>SUM(C41:J41)</f>
        <v>2145606.0691</v>
      </c>
      <c r="M41" s="6">
        <f>C41+F41+G41</f>
        <v>2071633</v>
      </c>
      <c r="N41" s="6">
        <f>N40+M41</f>
        <v>13562569</v>
      </c>
    </row>
    <row r="42" ht="12.75">
      <c r="N42" s="6">
        <f aca="true" t="shared" si="2" ref="N42:N74">N41+M42</f>
        <v>13562569</v>
      </c>
    </row>
    <row r="43" spans="1:14" ht="12.75">
      <c r="A43" s="1"/>
      <c r="C43" s="14">
        <f>C35+C37+C39+C41</f>
        <v>5244640</v>
      </c>
      <c r="D43" s="33"/>
      <c r="N43" s="6">
        <f t="shared" si="2"/>
        <v>13562569</v>
      </c>
    </row>
    <row r="44" spans="1:14" ht="12.75">
      <c r="A44" s="38" t="s">
        <v>37</v>
      </c>
      <c r="N44" s="6">
        <f t="shared" si="2"/>
        <v>13562569</v>
      </c>
    </row>
    <row r="45" spans="1:14" ht="12.75">
      <c r="A45" s="38" t="s">
        <v>38</v>
      </c>
      <c r="C45" s="14">
        <f>C32+C43</f>
        <v>13562569</v>
      </c>
      <c r="N45" s="6">
        <f t="shared" si="2"/>
        <v>13562569</v>
      </c>
    </row>
    <row r="46" spans="1:14" ht="12.75">
      <c r="A46" s="38" t="s">
        <v>39</v>
      </c>
      <c r="G46" s="14">
        <f>G40</f>
        <v>0</v>
      </c>
      <c r="N46" s="6">
        <f t="shared" si="2"/>
        <v>13562569</v>
      </c>
    </row>
    <row r="47" ht="12.75">
      <c r="N47" s="6">
        <f t="shared" si="2"/>
        <v>13562569</v>
      </c>
    </row>
    <row r="48" spans="1:16" ht="12.75">
      <c r="A48" s="38" t="s">
        <v>40</v>
      </c>
      <c r="G48" s="14">
        <f>C45+G46</f>
        <v>13562569</v>
      </c>
      <c r="N48" s="58">
        <f t="shared" si="2"/>
        <v>13562569</v>
      </c>
      <c r="O48" s="47">
        <v>40633</v>
      </c>
      <c r="P48" s="13">
        <v>15766165</v>
      </c>
    </row>
    <row r="49" spans="1:14" ht="12.75">
      <c r="A49" s="38"/>
      <c r="G49" s="46"/>
      <c r="N49" s="6">
        <f t="shared" si="2"/>
        <v>13562569</v>
      </c>
    </row>
    <row r="50" spans="1:14" ht="12.75">
      <c r="A50" s="51">
        <v>40640</v>
      </c>
      <c r="C50" s="2">
        <v>4030734</v>
      </c>
      <c r="F50" s="2">
        <v>-1593065</v>
      </c>
      <c r="G50" s="46">
        <v>-1218529</v>
      </c>
      <c r="I50" s="2">
        <v>74795</v>
      </c>
      <c r="K50" s="6">
        <f>SUM(C50:J50)</f>
        <v>1293935</v>
      </c>
      <c r="M50" s="6">
        <f>C50+F50+G50</f>
        <v>1219140</v>
      </c>
      <c r="N50" s="6">
        <f t="shared" si="2"/>
        <v>14781709</v>
      </c>
    </row>
    <row r="51" spans="1:20" ht="12.75">
      <c r="A51" s="38"/>
      <c r="G51" s="46"/>
      <c r="N51" s="6">
        <f t="shared" si="2"/>
        <v>14781709</v>
      </c>
      <c r="T51" s="53">
        <f>N51+I10+I16+I18+I22+I24+I26+I28+I37+I39+I41+I50+H24</f>
        <v>15816340</v>
      </c>
    </row>
    <row r="52" spans="1:16" ht="12.75">
      <c r="A52" s="51">
        <v>40695</v>
      </c>
      <c r="C52" s="2">
        <v>1431787</v>
      </c>
      <c r="G52" s="46"/>
      <c r="M52" s="6">
        <f>C52+F52+G52</f>
        <v>1431787</v>
      </c>
      <c r="N52" s="6">
        <f t="shared" si="2"/>
        <v>16213496</v>
      </c>
      <c r="O52" s="1">
        <v>40816</v>
      </c>
      <c r="P52" s="13">
        <v>20384327</v>
      </c>
    </row>
    <row r="53" spans="14:20" ht="12.75">
      <c r="N53" s="6">
        <f t="shared" si="2"/>
        <v>16213496</v>
      </c>
      <c r="T53" s="53">
        <f>T51+C52</f>
        <v>17248127</v>
      </c>
    </row>
    <row r="54" spans="1:16" ht="12.75">
      <c r="A54" s="1">
        <v>40885</v>
      </c>
      <c r="C54" s="2">
        <v>2214037</v>
      </c>
      <c r="F54" s="2">
        <v>-1350125</v>
      </c>
      <c r="G54" s="2">
        <v>-293550</v>
      </c>
      <c r="I54" s="2">
        <v>151232</v>
      </c>
      <c r="K54" s="6">
        <f>SUM(C54:J54)</f>
        <v>721594</v>
      </c>
      <c r="M54" s="6">
        <f>C54+F54+G54</f>
        <v>570362</v>
      </c>
      <c r="N54" s="6">
        <f t="shared" si="2"/>
        <v>16783858</v>
      </c>
      <c r="O54" s="1">
        <v>41274</v>
      </c>
      <c r="P54" s="13">
        <v>22242657</v>
      </c>
    </row>
    <row r="55" spans="14:20" ht="12.75">
      <c r="N55" s="6">
        <f t="shared" si="2"/>
        <v>16783858</v>
      </c>
      <c r="T55" s="53">
        <f>N55+I10+I16+I18+I22+I24+I26+I28+I37+I39+I41+I50+I54+H24</f>
        <v>17969721</v>
      </c>
    </row>
    <row r="56" spans="1:14" ht="12.75">
      <c r="A56" s="1">
        <v>40968</v>
      </c>
      <c r="C56" s="2">
        <v>1650256</v>
      </c>
      <c r="F56" s="2">
        <v>-286524</v>
      </c>
      <c r="G56" s="2">
        <v>-76085</v>
      </c>
      <c r="I56" s="2">
        <v>74590</v>
      </c>
      <c r="K56" s="6">
        <f>SUM(C56:J56)</f>
        <v>1362237</v>
      </c>
      <c r="M56" s="6">
        <f>C56+F56+G56</f>
        <v>1287647</v>
      </c>
      <c r="N56" s="6">
        <f t="shared" si="2"/>
        <v>18071505</v>
      </c>
    </row>
    <row r="57" spans="14:20" ht="12.75">
      <c r="N57" s="6">
        <f t="shared" si="2"/>
        <v>18071505</v>
      </c>
      <c r="T57" s="53">
        <f>N57+I10+I16+I18+I22+I24+I26+I28+I37+I39+I41+I50+I54+I56+H24</f>
        <v>19331958</v>
      </c>
    </row>
    <row r="58" spans="3:14" ht="12.75">
      <c r="C58" s="14">
        <f>C50+C52+C54+C56</f>
        <v>9326814</v>
      </c>
      <c r="N58" s="6">
        <f t="shared" si="2"/>
        <v>18071505</v>
      </c>
    </row>
    <row r="59" spans="1:14" ht="12.75">
      <c r="A59" s="38" t="s">
        <v>37</v>
      </c>
      <c r="N59" s="6">
        <f t="shared" si="2"/>
        <v>18071505</v>
      </c>
    </row>
    <row r="60" spans="1:16" ht="12.75">
      <c r="A60" s="38" t="s">
        <v>38</v>
      </c>
      <c r="C60" s="14">
        <f>C45+C58</f>
        <v>22889383</v>
      </c>
      <c r="G60" s="8">
        <f>F50+G50+F54+G54+F56+G56</f>
        <v>-4817878</v>
      </c>
      <c r="N60" s="6">
        <f t="shared" si="2"/>
        <v>18071505</v>
      </c>
      <c r="O60" s="1">
        <v>40999</v>
      </c>
      <c r="P60" s="13">
        <v>22427404</v>
      </c>
    </row>
    <row r="61" spans="1:14" ht="12.75">
      <c r="A61" s="38"/>
      <c r="C61" s="46"/>
      <c r="N61" s="6">
        <f t="shared" si="2"/>
        <v>18071505</v>
      </c>
    </row>
    <row r="62" spans="1:14" ht="12.75">
      <c r="A62" s="38" t="s">
        <v>39</v>
      </c>
      <c r="G62" s="14">
        <f>G50+G54+G56</f>
        <v>-1588164</v>
      </c>
      <c r="N62" s="6">
        <f t="shared" si="2"/>
        <v>18071505</v>
      </c>
    </row>
    <row r="63" ht="12.75">
      <c r="N63" s="6">
        <f t="shared" si="2"/>
        <v>18071505</v>
      </c>
    </row>
    <row r="64" spans="1:14" ht="12.75">
      <c r="A64" s="38" t="s">
        <v>40</v>
      </c>
      <c r="G64" s="14">
        <f>C60+G62</f>
        <v>21301219</v>
      </c>
      <c r="I64" s="14">
        <f>I10+I16+I18+I22+I24+I26+I28+I37+I39+I41+I50+I54+I56</f>
        <v>1289385</v>
      </c>
      <c r="N64" s="6">
        <f t="shared" si="2"/>
        <v>18071505</v>
      </c>
    </row>
    <row r="65" spans="14:16" ht="12.75">
      <c r="N65" s="6">
        <f t="shared" si="2"/>
        <v>18071505</v>
      </c>
      <c r="O65" s="1">
        <v>41090</v>
      </c>
      <c r="P65" s="13">
        <v>23579978</v>
      </c>
    </row>
    <row r="66" spans="1:20" ht="12.75">
      <c r="A66" s="1">
        <v>41178</v>
      </c>
      <c r="C66" s="2">
        <v>74300</v>
      </c>
      <c r="K66" s="6">
        <f>SUM(C66:J66)</f>
        <v>74300</v>
      </c>
      <c r="M66" s="6">
        <f>C66+F66+G66</f>
        <v>74300</v>
      </c>
      <c r="N66" s="6">
        <f t="shared" si="2"/>
        <v>18145805</v>
      </c>
      <c r="T66" s="53">
        <f>N66+I10+I16+I18+I22+I24+I26+I28+I37+I39+I41+I50+I54+I56+H24</f>
        <v>19406258</v>
      </c>
    </row>
    <row r="67" spans="14:16" ht="12.75">
      <c r="N67" s="6">
        <f t="shared" si="2"/>
        <v>18145805</v>
      </c>
      <c r="O67" s="1">
        <v>41182</v>
      </c>
      <c r="P67" s="13">
        <v>23977416</v>
      </c>
    </row>
    <row r="68" spans="3:14" ht="12.75">
      <c r="C68" s="14">
        <f>SUM(C66:C67)</f>
        <v>74300</v>
      </c>
      <c r="N68" s="6">
        <f t="shared" si="2"/>
        <v>18145805</v>
      </c>
    </row>
    <row r="69" spans="1:16" ht="12.75">
      <c r="A69" s="38" t="s">
        <v>37</v>
      </c>
      <c r="N69" s="6">
        <f t="shared" si="2"/>
        <v>18145805</v>
      </c>
      <c r="O69" s="1">
        <v>41274</v>
      </c>
      <c r="P69" s="13">
        <v>24933898</v>
      </c>
    </row>
    <row r="70" spans="1:14" ht="12.75">
      <c r="A70" s="38" t="s">
        <v>38</v>
      </c>
      <c r="C70" s="14">
        <f>C60+C68</f>
        <v>22963683</v>
      </c>
      <c r="G70" s="8"/>
      <c r="N70" s="6">
        <f t="shared" si="2"/>
        <v>18145805</v>
      </c>
    </row>
    <row r="71" spans="1:14" ht="12.75">
      <c r="A71" s="38"/>
      <c r="C71" s="46"/>
      <c r="N71" s="6">
        <f t="shared" si="2"/>
        <v>18145805</v>
      </c>
    </row>
    <row r="72" spans="1:14" ht="12.75">
      <c r="A72" s="38" t="s">
        <v>39</v>
      </c>
      <c r="G72" s="14">
        <f>G62</f>
        <v>-1588164</v>
      </c>
      <c r="N72" s="6">
        <f t="shared" si="2"/>
        <v>18145805</v>
      </c>
    </row>
    <row r="73" ht="12.75">
      <c r="N73" s="6">
        <f>N72+M73</f>
        <v>18145805</v>
      </c>
    </row>
    <row r="74" spans="1:16" ht="12.75">
      <c r="A74" s="38" t="s">
        <v>40</v>
      </c>
      <c r="G74" s="14">
        <f>C70+G72</f>
        <v>21375519</v>
      </c>
      <c r="N74" s="34">
        <f t="shared" si="2"/>
        <v>18145805</v>
      </c>
      <c r="O74" s="47">
        <v>41364</v>
      </c>
      <c r="P74" s="13">
        <v>23977416.71</v>
      </c>
    </row>
    <row r="75" ht="12.75">
      <c r="N75" s="6">
        <f>N74+M75</f>
        <v>18145805</v>
      </c>
    </row>
    <row r="76" spans="1:16" ht="12.75">
      <c r="A76" s="1">
        <v>41395</v>
      </c>
      <c r="C76" s="2">
        <v>2302323</v>
      </c>
      <c r="F76" s="2">
        <v>-2620330</v>
      </c>
      <c r="G76" s="2">
        <v>714511</v>
      </c>
      <c r="I76" s="2">
        <v>353450</v>
      </c>
      <c r="K76" s="6">
        <f>SUM(C76:J76)</f>
        <v>749954</v>
      </c>
      <c r="M76" s="6">
        <f>C76+F76+G76</f>
        <v>396504</v>
      </c>
      <c r="N76" s="6">
        <f aca="true" t="shared" si="3" ref="N76:N111">N75+M76</f>
        <v>18542309</v>
      </c>
      <c r="O76" s="1">
        <v>41455</v>
      </c>
      <c r="P76" s="13">
        <v>26854989</v>
      </c>
    </row>
    <row r="77" spans="11:14" ht="12.75">
      <c r="K77" s="6"/>
      <c r="M77" s="6"/>
      <c r="N77" s="6">
        <f t="shared" si="3"/>
        <v>18542309</v>
      </c>
    </row>
    <row r="78" spans="1:16" ht="12.75">
      <c r="A78" s="1">
        <v>41522</v>
      </c>
      <c r="C78" s="2">
        <v>988616</v>
      </c>
      <c r="F78" s="2">
        <v>-1585457</v>
      </c>
      <c r="G78" s="2">
        <v>-132515</v>
      </c>
      <c r="I78" s="2">
        <v>63733</v>
      </c>
      <c r="K78" s="6">
        <f>SUM(C78:J78)</f>
        <v>-665623</v>
      </c>
      <c r="M78" s="6">
        <f>C78+F78+G78</f>
        <v>-729356</v>
      </c>
      <c r="N78" s="6">
        <f t="shared" si="3"/>
        <v>17812953</v>
      </c>
      <c r="O78" s="1">
        <v>41547</v>
      </c>
      <c r="P78" s="13">
        <v>27384109</v>
      </c>
    </row>
    <row r="79" spans="11:20" ht="12.75">
      <c r="K79" s="6"/>
      <c r="M79" s="6"/>
      <c r="N79" s="6">
        <f t="shared" si="3"/>
        <v>17812953</v>
      </c>
      <c r="O79" s="1">
        <v>41639</v>
      </c>
      <c r="P79" s="13">
        <v>29965504</v>
      </c>
      <c r="T79" s="53">
        <f>N79+I78+I76+I56+I54+I50+I41+I39+I37+I28+I26+I24+I22+I18+I16+I10+H24</f>
        <v>19490589</v>
      </c>
    </row>
    <row r="80" spans="1:20" ht="12.75">
      <c r="A80" s="1">
        <v>41667</v>
      </c>
      <c r="C80" s="2">
        <v>1140004</v>
      </c>
      <c r="F80" s="2">
        <v>-1859137</v>
      </c>
      <c r="G80" s="2">
        <v>-154252</v>
      </c>
      <c r="I80" s="2">
        <v>119675</v>
      </c>
      <c r="K80" s="6">
        <f>SUM(C80:J80)</f>
        <v>-753710</v>
      </c>
      <c r="M80" s="6">
        <f>C80+F80+G80</f>
        <v>-873385</v>
      </c>
      <c r="N80" s="34">
        <f t="shared" si="3"/>
        <v>16939568</v>
      </c>
      <c r="O80" s="47">
        <v>41729</v>
      </c>
      <c r="T80" s="53">
        <f>N80+I80+I78+I76+I56+I54+I50+I41+I39+I37+I28+I26+I24+I22+I18+I16+I10+H24</f>
        <v>18736879</v>
      </c>
    </row>
    <row r="81" spans="11:14" ht="12.75">
      <c r="K81" s="6"/>
      <c r="M81" s="6"/>
      <c r="N81" s="6">
        <f t="shared" si="3"/>
        <v>16939568</v>
      </c>
    </row>
    <row r="82" spans="3:14" ht="12.75">
      <c r="C82" s="14">
        <f>SUM(C76:C80)</f>
        <v>4430943</v>
      </c>
      <c r="F82" s="46"/>
      <c r="G82" s="14">
        <f>F76+G76+F78+G78+F80+G80</f>
        <v>-5637180</v>
      </c>
      <c r="K82" s="6"/>
      <c r="M82" s="6"/>
      <c r="N82" s="6">
        <f t="shared" si="3"/>
        <v>16939568</v>
      </c>
    </row>
    <row r="83" spans="11:14" ht="12.75">
      <c r="K83" s="6"/>
      <c r="M83" s="6"/>
      <c r="N83" s="6">
        <f t="shared" si="3"/>
        <v>16939568</v>
      </c>
    </row>
    <row r="84" spans="1:14" ht="12.75">
      <c r="A84" s="38" t="s">
        <v>37</v>
      </c>
      <c r="N84" s="6">
        <f t="shared" si="3"/>
        <v>16939568</v>
      </c>
    </row>
    <row r="85" spans="1:14" ht="12.75">
      <c r="A85" s="38" t="s">
        <v>38</v>
      </c>
      <c r="C85" s="2">
        <f>C82+C70</f>
        <v>27394626</v>
      </c>
      <c r="N85" s="6">
        <f t="shared" si="3"/>
        <v>16939568</v>
      </c>
    </row>
    <row r="86" spans="1:16" ht="12.75">
      <c r="A86" s="38" t="s">
        <v>39</v>
      </c>
      <c r="G86" s="2">
        <f>G50+G54+G56+G76+G78+G80</f>
        <v>-1160420</v>
      </c>
      <c r="N86" s="6">
        <f t="shared" si="3"/>
        <v>16939568</v>
      </c>
      <c r="O86" s="1">
        <v>41820</v>
      </c>
      <c r="P86" s="13">
        <v>29264082</v>
      </c>
    </row>
    <row r="87" ht="12.75">
      <c r="N87" s="6">
        <f t="shared" si="3"/>
        <v>16939568</v>
      </c>
    </row>
    <row r="88" spans="1:16" ht="12.75">
      <c r="A88" s="38" t="s">
        <v>40</v>
      </c>
      <c r="G88" s="14">
        <f>C85+G86</f>
        <v>26234206</v>
      </c>
      <c r="N88" s="6">
        <f t="shared" si="3"/>
        <v>16939568</v>
      </c>
      <c r="O88" s="1">
        <v>41912</v>
      </c>
      <c r="P88" s="13">
        <v>29901153</v>
      </c>
    </row>
    <row r="89" spans="1:14" ht="13.5" thickBot="1">
      <c r="A89" s="38"/>
      <c r="G89" s="46"/>
      <c r="N89" s="6">
        <f t="shared" si="3"/>
        <v>16939568</v>
      </c>
    </row>
    <row r="90" spans="1:20" ht="13.5" thickBot="1">
      <c r="A90" s="51">
        <v>42002</v>
      </c>
      <c r="C90" s="2">
        <v>1844287</v>
      </c>
      <c r="F90" s="2">
        <v>-2572123</v>
      </c>
      <c r="G90" s="46">
        <v>-253164</v>
      </c>
      <c r="I90" s="2">
        <v>170048</v>
      </c>
      <c r="K90" s="6">
        <f>SUM(C90:J90)</f>
        <v>-810952</v>
      </c>
      <c r="M90" s="6">
        <f>C90+F90+G90</f>
        <v>-981000</v>
      </c>
      <c r="N90" s="10">
        <f t="shared" si="3"/>
        <v>15958568</v>
      </c>
      <c r="O90" s="1">
        <v>42004</v>
      </c>
      <c r="P90" s="13">
        <v>29609214</v>
      </c>
      <c r="T90" s="67">
        <f>T80+M90+I90</f>
        <v>17925927</v>
      </c>
    </row>
    <row r="91" spans="1:15" ht="12.75">
      <c r="A91" s="38"/>
      <c r="G91" s="46"/>
      <c r="N91" s="6">
        <f t="shared" si="3"/>
        <v>15958568</v>
      </c>
      <c r="O91" s="47">
        <v>42094</v>
      </c>
    </row>
    <row r="92" spans="1:15" ht="12.75">
      <c r="A92" s="38" t="s">
        <v>37</v>
      </c>
      <c r="N92" s="6">
        <f t="shared" si="3"/>
        <v>15958568</v>
      </c>
      <c r="O92" s="47"/>
    </row>
    <row r="93" spans="1:15" ht="12.75">
      <c r="A93" s="38" t="s">
        <v>38</v>
      </c>
      <c r="C93" s="2">
        <f>C90+C85</f>
        <v>29238913</v>
      </c>
      <c r="N93" s="6">
        <f t="shared" si="3"/>
        <v>15958568</v>
      </c>
      <c r="O93" s="47"/>
    </row>
    <row r="94" spans="1:15" ht="12.75">
      <c r="A94" s="38" t="s">
        <v>39</v>
      </c>
      <c r="G94" s="2">
        <f>G86+G90</f>
        <v>-1413584</v>
      </c>
      <c r="N94" s="6">
        <f t="shared" si="3"/>
        <v>15958568</v>
      </c>
      <c r="O94" s="47"/>
    </row>
    <row r="95" spans="14:15" ht="12.75">
      <c r="N95" s="6">
        <f t="shared" si="3"/>
        <v>15958568</v>
      </c>
      <c r="O95" s="47"/>
    </row>
    <row r="96" spans="1:15" ht="12.75">
      <c r="A96" s="38" t="s">
        <v>40</v>
      </c>
      <c r="G96" s="64">
        <f>C93+G94</f>
        <v>27825329</v>
      </c>
      <c r="N96" s="6">
        <f t="shared" si="3"/>
        <v>15958568</v>
      </c>
      <c r="O96" s="47"/>
    </row>
    <row r="97" spans="1:15" ht="12.75">
      <c r="A97" s="38"/>
      <c r="G97" s="46"/>
      <c r="N97" s="6">
        <f t="shared" si="3"/>
        <v>15958568</v>
      </c>
      <c r="O97" s="47"/>
    </row>
    <row r="98" spans="1:14" ht="12.75">
      <c r="A98" s="38"/>
      <c r="G98" s="46"/>
      <c r="N98" s="6">
        <f t="shared" si="3"/>
        <v>15958568</v>
      </c>
    </row>
    <row r="99" ht="12.75">
      <c r="N99" s="6">
        <f t="shared" si="3"/>
        <v>15958568</v>
      </c>
    </row>
    <row r="100" spans="1:20" ht="12.75">
      <c r="A100" s="1">
        <v>42128</v>
      </c>
      <c r="C100" s="2">
        <v>656899</v>
      </c>
      <c r="F100" s="2">
        <v>-2539181</v>
      </c>
      <c r="G100" s="2">
        <v>-6284</v>
      </c>
      <c r="I100" s="2">
        <v>103534</v>
      </c>
      <c r="K100" s="6">
        <f>SUM(C100:J100)</f>
        <v>-1785032</v>
      </c>
      <c r="M100" s="6">
        <f>C100+F100+G100</f>
        <v>-1888566</v>
      </c>
      <c r="N100" s="6">
        <f t="shared" si="3"/>
        <v>14070002</v>
      </c>
      <c r="O100" s="1">
        <v>42185</v>
      </c>
      <c r="T100" s="67">
        <f>T90+M100+I100</f>
        <v>16140895</v>
      </c>
    </row>
    <row r="101" ht="12.75">
      <c r="N101" s="6">
        <f t="shared" si="3"/>
        <v>14070002</v>
      </c>
    </row>
    <row r="102" spans="1:20" ht="12.75">
      <c r="A102" s="1">
        <v>42272</v>
      </c>
      <c r="C102" s="2">
        <v>55830</v>
      </c>
      <c r="F102" s="2">
        <v>-3019034</v>
      </c>
      <c r="G102" s="2">
        <v>-42196</v>
      </c>
      <c r="I102" s="2">
        <v>48849</v>
      </c>
      <c r="K102" s="6">
        <f>SUM(C102:J102)</f>
        <v>-2956551</v>
      </c>
      <c r="M102" s="6">
        <f>C102+F102+G102</f>
        <v>-3005400</v>
      </c>
      <c r="N102" s="6">
        <f t="shared" si="3"/>
        <v>11064602</v>
      </c>
      <c r="O102" s="1">
        <v>42277</v>
      </c>
      <c r="P102" s="13">
        <v>26575191</v>
      </c>
      <c r="T102" s="67">
        <f>T100+M102+I102</f>
        <v>13184344</v>
      </c>
    </row>
    <row r="103" spans="11:14" ht="12.75">
      <c r="K103" s="6"/>
      <c r="M103" s="6"/>
      <c r="N103" s="6">
        <f t="shared" si="3"/>
        <v>11064602</v>
      </c>
    </row>
    <row r="104" spans="1:20" ht="12.75">
      <c r="A104" s="1">
        <v>42361</v>
      </c>
      <c r="C104" s="2">
        <v>92303</v>
      </c>
      <c r="F104" s="2">
        <v>-1452681</v>
      </c>
      <c r="G104" s="2">
        <v>-1387</v>
      </c>
      <c r="I104" s="2">
        <v>44271</v>
      </c>
      <c r="K104" s="6">
        <f>SUM(C104:J104)</f>
        <v>-1317494</v>
      </c>
      <c r="M104" s="6">
        <f>C104+F104+G104</f>
        <v>-1361765</v>
      </c>
      <c r="N104" s="6">
        <f t="shared" si="3"/>
        <v>9702837</v>
      </c>
      <c r="O104" s="1">
        <v>42369</v>
      </c>
      <c r="P104" s="13">
        <v>24167791</v>
      </c>
      <c r="T104" s="67">
        <f>T102+M104+I104</f>
        <v>11866850</v>
      </c>
    </row>
    <row r="105" spans="1:20" ht="12.75">
      <c r="A105" s="1"/>
      <c r="K105" s="6"/>
      <c r="M105" s="6"/>
      <c r="N105" s="6">
        <f t="shared" si="3"/>
        <v>9702837</v>
      </c>
      <c r="O105" s="1"/>
      <c r="T105" s="67"/>
    </row>
    <row r="106" spans="1:20" ht="12.75">
      <c r="A106" s="1">
        <v>42459</v>
      </c>
      <c r="C106" s="2">
        <v>0</v>
      </c>
      <c r="F106" s="2">
        <v>-2073698</v>
      </c>
      <c r="G106" s="2">
        <v>-7171</v>
      </c>
      <c r="I106" s="2">
        <v>40896</v>
      </c>
      <c r="K106" s="6">
        <f>SUM(C106:J106)</f>
        <v>-2039973</v>
      </c>
      <c r="M106" s="6">
        <f>C106+F106+G106</f>
        <v>-2080869</v>
      </c>
      <c r="N106" s="6">
        <f t="shared" si="3"/>
        <v>7621968</v>
      </c>
      <c r="O106" s="1"/>
      <c r="T106" s="67">
        <f>T104+M106+I106</f>
        <v>9826877</v>
      </c>
    </row>
    <row r="107" ht="12.75">
      <c r="N107" s="6">
        <f t="shared" si="3"/>
        <v>7621968</v>
      </c>
    </row>
    <row r="108" spans="3:14" ht="12.75">
      <c r="C108" s="14">
        <f>SUM(C100:C106)</f>
        <v>805032</v>
      </c>
      <c r="F108" s="46"/>
      <c r="G108" s="14">
        <f>F100+G100+F102+G102+F104+G104</f>
        <v>-7060763</v>
      </c>
      <c r="N108" s="75">
        <f t="shared" si="3"/>
        <v>7621968</v>
      </c>
    </row>
    <row r="109" ht="12.75">
      <c r="N109" s="6">
        <f t="shared" si="3"/>
        <v>7621968</v>
      </c>
    </row>
    <row r="110" spans="1:14" ht="12.75">
      <c r="A110" s="38" t="s">
        <v>37</v>
      </c>
      <c r="N110" s="6">
        <f t="shared" si="3"/>
        <v>7621968</v>
      </c>
    </row>
    <row r="111" spans="1:14" ht="12.75">
      <c r="A111" s="38" t="s">
        <v>38</v>
      </c>
      <c r="C111" s="2">
        <f>C108+C93</f>
        <v>30043945</v>
      </c>
      <c r="N111" s="6">
        <f t="shared" si="3"/>
        <v>7621968</v>
      </c>
    </row>
    <row r="112" spans="1:14" ht="12.75">
      <c r="A112" s="38" t="s">
        <v>39</v>
      </c>
      <c r="G112" s="2">
        <f>G94+G100+G102+G104</f>
        <v>-1463451</v>
      </c>
      <c r="N112" s="6">
        <f>N111+M112</f>
        <v>7621968</v>
      </c>
    </row>
    <row r="113" ht="12.75">
      <c r="N113" s="6">
        <f aca="true" t="shared" si="4" ref="N113:N121">N112+M113</f>
        <v>7621968</v>
      </c>
    </row>
    <row r="114" spans="1:14" ht="12.75">
      <c r="A114" s="38" t="s">
        <v>40</v>
      </c>
      <c r="G114" s="14">
        <f>C111+G112</f>
        <v>28580494</v>
      </c>
      <c r="N114" s="6">
        <f t="shared" si="4"/>
        <v>7621968</v>
      </c>
    </row>
    <row r="115" spans="1:14" ht="12.75">
      <c r="A115" s="38"/>
      <c r="G115" s="46"/>
      <c r="N115" s="6">
        <f t="shared" si="4"/>
        <v>7621968</v>
      </c>
    </row>
    <row r="116" spans="1:23" ht="12.75">
      <c r="A116" s="1">
        <v>42601</v>
      </c>
      <c r="C116" s="2">
        <v>423082</v>
      </c>
      <c r="F116" s="2">
        <v>-1241213</v>
      </c>
      <c r="G116" s="2">
        <v>0</v>
      </c>
      <c r="I116" s="2">
        <v>40732</v>
      </c>
      <c r="K116" s="6">
        <f>SUM(C116:J116)</f>
        <v>-777399</v>
      </c>
      <c r="M116" s="6">
        <f>C116+F116+G116</f>
        <v>-818131</v>
      </c>
      <c r="N116" s="6">
        <f t="shared" si="4"/>
        <v>6803837</v>
      </c>
      <c r="T116" s="67">
        <f>T106+M116+I116</f>
        <v>9049478</v>
      </c>
      <c r="V116" s="53"/>
      <c r="W116" s="74"/>
    </row>
    <row r="117" spans="14:23" ht="12.75">
      <c r="N117" s="6">
        <f t="shared" si="4"/>
        <v>6803837</v>
      </c>
      <c r="W117" s="74"/>
    </row>
    <row r="118" spans="1:23" ht="12.75">
      <c r="A118" s="1">
        <v>42720</v>
      </c>
      <c r="C118" s="2">
        <v>321529</v>
      </c>
      <c r="F118" s="2">
        <v>-1982145</v>
      </c>
      <c r="G118" s="2">
        <v>-25191</v>
      </c>
      <c r="I118" s="2">
        <v>78144</v>
      </c>
      <c r="K118" s="6">
        <f>SUM(C118:J118)</f>
        <v>-1607663</v>
      </c>
      <c r="M118" s="6">
        <f>C118+F118+G118</f>
        <v>-1685807</v>
      </c>
      <c r="N118" s="6">
        <f t="shared" si="4"/>
        <v>5118030</v>
      </c>
      <c r="O118" s="1">
        <v>42735</v>
      </c>
      <c r="P118" s="13">
        <v>19369260</v>
      </c>
      <c r="T118" s="67">
        <f>T116+M118+I118</f>
        <v>7441815</v>
      </c>
      <c r="W118" s="74"/>
    </row>
    <row r="119" ht="12.75">
      <c r="N119" s="6">
        <f t="shared" si="4"/>
        <v>5118030</v>
      </c>
    </row>
    <row r="120" spans="1:14" ht="12.75">
      <c r="A120" s="1">
        <v>42790</v>
      </c>
      <c r="C120" s="2">
        <v>104807</v>
      </c>
      <c r="F120" s="2">
        <v>-730820</v>
      </c>
      <c r="G120" s="2">
        <v>-26945</v>
      </c>
      <c r="K120" s="6">
        <f>SUM(C120:J120)</f>
        <v>-652958</v>
      </c>
      <c r="M120" s="6">
        <f>C120+F120+G120</f>
        <v>-652958</v>
      </c>
      <c r="N120" s="75">
        <f t="shared" si="4"/>
        <v>4465072</v>
      </c>
    </row>
    <row r="121" ht="12.75">
      <c r="N121" s="6">
        <f t="shared" si="4"/>
        <v>4465072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Northumberland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cgorman</dc:creator>
  <cp:keywords/>
  <dc:description/>
  <cp:lastModifiedBy>Craig.Johnson</cp:lastModifiedBy>
  <cp:lastPrinted>2017-05-17T13:31:40Z</cp:lastPrinted>
  <dcterms:created xsi:type="dcterms:W3CDTF">2007-02-05T14:26:12Z</dcterms:created>
  <dcterms:modified xsi:type="dcterms:W3CDTF">2017-07-06T16:01:04Z</dcterms:modified>
  <cp:category/>
  <cp:version/>
  <cp:contentType/>
  <cp:contentStatus/>
</cp:coreProperties>
</file>